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. 15 ธ.ค. 65\"/>
    </mc:Choice>
  </mc:AlternateContent>
  <xr:revisionPtr revIDLastSave="0" documentId="13_ncr:1_{A9EAE971-D925-4528-B005-764843C5AE41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K826" i="21" s="1"/>
  <c r="J825" i="21"/>
  <c r="I825" i="21"/>
  <c r="J824" i="21"/>
  <c r="I824" i="21"/>
  <c r="J823" i="21"/>
  <c r="I823" i="21"/>
  <c r="J822" i="21"/>
  <c r="I822" i="21"/>
  <c r="J821" i="21"/>
  <c r="I821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P809" i="21"/>
  <c r="O809" i="21"/>
  <c r="P808" i="21"/>
  <c r="O808" i="21"/>
  <c r="N808" i="21"/>
  <c r="M808" i="21"/>
  <c r="L808" i="21"/>
  <c r="O807" i="21"/>
  <c r="N807" i="21"/>
  <c r="M807" i="21"/>
  <c r="P807" i="21" s="1"/>
  <c r="L807" i="21"/>
  <c r="N806" i="21"/>
  <c r="N805" i="21" s="1"/>
  <c r="M806" i="21"/>
  <c r="P806" i="21" s="1"/>
  <c r="L806" i="21"/>
  <c r="O806" i="21" s="1"/>
  <c r="M805" i="21"/>
  <c r="P805" i="21" s="1"/>
  <c r="K804" i="21"/>
  <c r="J804" i="21"/>
  <c r="K802" i="21"/>
  <c r="J801" i="21"/>
  <c r="J800" i="21"/>
  <c r="J785" i="21" s="1"/>
  <c r="I800" i="21"/>
  <c r="I785" i="21" s="1"/>
  <c r="P798" i="21"/>
  <c r="O798" i="21"/>
  <c r="P797" i="21"/>
  <c r="O797" i="21"/>
  <c r="P796" i="21"/>
  <c r="O796" i="21"/>
  <c r="N796" i="21"/>
  <c r="M796" i="21"/>
  <c r="L796" i="21"/>
  <c r="N795" i="21"/>
  <c r="N791" i="21" s="1"/>
  <c r="P791" i="21"/>
  <c r="L791" i="21"/>
  <c r="L788" i="21" s="1"/>
  <c r="L786" i="21" s="1"/>
  <c r="P790" i="21"/>
  <c r="O790" i="21"/>
  <c r="P789" i="21"/>
  <c r="M789" i="21"/>
  <c r="P788" i="21"/>
  <c r="M788" i="21"/>
  <c r="O787" i="21"/>
  <c r="N787" i="21"/>
  <c r="M787" i="21"/>
  <c r="P787" i="21" s="1"/>
  <c r="L787" i="2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P773" i="21"/>
  <c r="M773" i="21"/>
  <c r="L773" i="21"/>
  <c r="O773" i="21" s="1"/>
  <c r="P772" i="21"/>
  <c r="O772" i="21"/>
  <c r="M772" i="21"/>
  <c r="L772" i="21"/>
  <c r="P771" i="21"/>
  <c r="O771" i="21"/>
  <c r="N771" i="21"/>
  <c r="M771" i="21"/>
  <c r="L771" i="21"/>
  <c r="L770" i="21" s="1"/>
  <c r="O770" i="21" s="1"/>
  <c r="M770" i="21"/>
  <c r="P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P757" i="21"/>
  <c r="M757" i="21"/>
  <c r="L757" i="21"/>
  <c r="O757" i="21" s="1"/>
  <c r="P756" i="21"/>
  <c r="O756" i="21"/>
  <c r="M756" i="21"/>
  <c r="L756" i="21"/>
  <c r="P755" i="21"/>
  <c r="O755" i="21"/>
  <c r="N755" i="21"/>
  <c r="M755" i="21"/>
  <c r="L755" i="21"/>
  <c r="L754" i="21" s="1"/>
  <c r="O754" i="21" s="1"/>
  <c r="M754" i="21"/>
  <c r="P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P740" i="21"/>
  <c r="M740" i="21"/>
  <c r="L740" i="21"/>
  <c r="O740" i="21" s="1"/>
  <c r="P739" i="21"/>
  <c r="O739" i="21"/>
  <c r="M739" i="21"/>
  <c r="L739" i="21"/>
  <c r="P738" i="21"/>
  <c r="O738" i="21"/>
  <c r="N738" i="21"/>
  <c r="M738" i="21"/>
  <c r="L738" i="21"/>
  <c r="L737" i="21" s="1"/>
  <c r="O737" i="21" s="1"/>
  <c r="M737" i="21"/>
  <c r="P737" i="21" s="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N695" i="21"/>
  <c r="M695" i="21"/>
  <c r="P695" i="21" s="1"/>
  <c r="L695" i="21"/>
  <c r="O695" i="21" s="1"/>
  <c r="P690" i="21"/>
  <c r="N690" i="21"/>
  <c r="N688" i="21" s="1"/>
  <c r="L690" i="21"/>
  <c r="O690" i="21" s="1"/>
  <c r="P688" i="21"/>
  <c r="M688" i="21"/>
  <c r="P687" i="21"/>
  <c r="N687" i="21"/>
  <c r="M687" i="21"/>
  <c r="O686" i="21"/>
  <c r="N686" i="21"/>
  <c r="N685" i="21" s="1"/>
  <c r="M686" i="21"/>
  <c r="P686" i="21" s="1"/>
  <c r="L686" i="21"/>
  <c r="M685" i="21"/>
  <c r="P685" i="21" s="1"/>
  <c r="J679" i="21"/>
  <c r="J678" i="21"/>
  <c r="I678" i="21"/>
  <c r="K678" i="21" s="1"/>
  <c r="J675" i="21"/>
  <c r="J669" i="21" s="1"/>
  <c r="J654" i="21" s="1"/>
  <c r="I671" i="21"/>
  <c r="K671" i="21" s="1"/>
  <c r="I670" i="21"/>
  <c r="K670" i="21" s="1"/>
  <c r="I669" i="21"/>
  <c r="K673" i="21" s="1"/>
  <c r="P667" i="21"/>
  <c r="O667" i="21"/>
  <c r="P666" i="21"/>
  <c r="O666" i="21"/>
  <c r="O665" i="21"/>
  <c r="N665" i="21"/>
  <c r="M665" i="21"/>
  <c r="P665" i="21" s="1"/>
  <c r="L665" i="21"/>
  <c r="P660" i="21"/>
  <c r="N660" i="21"/>
  <c r="N657" i="21" s="1"/>
  <c r="L660" i="21"/>
  <c r="O660" i="21" s="1"/>
  <c r="P659" i="21"/>
  <c r="O659" i="21"/>
  <c r="N658" i="21"/>
  <c r="M658" i="21"/>
  <c r="P658" i="21" s="1"/>
  <c r="M657" i="21"/>
  <c r="P657" i="21" s="1"/>
  <c r="L657" i="21"/>
  <c r="O657" i="21" s="1"/>
  <c r="P656" i="21"/>
  <c r="N656" i="21"/>
  <c r="M656" i="21"/>
  <c r="M655" i="21" s="1"/>
  <c r="P655" i="21" s="1"/>
  <c r="L656" i="21"/>
  <c r="K652" i="21"/>
  <c r="J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L639" i="21"/>
  <c r="O639" i="21" s="1"/>
  <c r="P634" i="21"/>
  <c r="N634" i="21"/>
  <c r="L634" i="21"/>
  <c r="P633" i="21"/>
  <c r="O633" i="21"/>
  <c r="P632" i="21"/>
  <c r="N632" i="21"/>
  <c r="M632" i="21"/>
  <c r="L632" i="21"/>
  <c r="M631" i="21"/>
  <c r="P631" i="21" s="1"/>
  <c r="N630" i="21"/>
  <c r="M630" i="21"/>
  <c r="P630" i="21" s="1"/>
  <c r="L630" i="21"/>
  <c r="O630" i="21" s="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4" i="21" s="1"/>
  <c r="J595" i="21"/>
  <c r="J593" i="21" s="1"/>
  <c r="J592" i="21" s="1"/>
  <c r="I594" i="21"/>
  <c r="K594" i="21" s="1"/>
  <c r="I593" i="21"/>
  <c r="I592" i="21" s="1"/>
  <c r="J583" i="21"/>
  <c r="J577" i="21" s="1"/>
  <c r="J582" i="21"/>
  <c r="J576" i="21" s="1"/>
  <c r="J559" i="21" s="1"/>
  <c r="J543" i="21" s="1"/>
  <c r="I577" i="21"/>
  <c r="I576" i="21"/>
  <c r="I559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P557" i="21"/>
  <c r="L557" i="21"/>
  <c r="O557" i="21" s="1"/>
  <c r="P556" i="21"/>
  <c r="O556" i="21"/>
  <c r="N555" i="21"/>
  <c r="N545" i="21" s="1"/>
  <c r="N544" i="21" s="1"/>
  <c r="M555" i="21"/>
  <c r="P555" i="21" s="1"/>
  <c r="P549" i="21"/>
  <c r="N549" i="21"/>
  <c r="N546" i="21" s="1"/>
  <c r="L549" i="21"/>
  <c r="O549" i="21" s="1"/>
  <c r="P548" i="21"/>
  <c r="O548" i="21"/>
  <c r="N547" i="21"/>
  <c r="M547" i="21"/>
  <c r="P547" i="21" s="1"/>
  <c r="P546" i="21"/>
  <c r="M546" i="21"/>
  <c r="O545" i="21"/>
  <c r="L545" i="2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I522" i="21" s="1"/>
  <c r="K522" i="21" s="1"/>
  <c r="P535" i="21"/>
  <c r="L535" i="21"/>
  <c r="O535" i="21" s="1"/>
  <c r="P534" i="21"/>
  <c r="O534" i="21"/>
  <c r="P533" i="21"/>
  <c r="N533" i="21"/>
  <c r="M533" i="21"/>
  <c r="L533" i="21"/>
  <c r="O533" i="21" s="1"/>
  <c r="P528" i="21"/>
  <c r="N528" i="21"/>
  <c r="L528" i="21"/>
  <c r="O528" i="21" s="1"/>
  <c r="P527" i="21"/>
  <c r="O527" i="21"/>
  <c r="P526" i="21"/>
  <c r="N526" i="21"/>
  <c r="M526" i="21"/>
  <c r="L526" i="21"/>
  <c r="O526" i="21" s="1"/>
  <c r="P525" i="21"/>
  <c r="N525" i="21"/>
  <c r="M525" i="21"/>
  <c r="O524" i="21"/>
  <c r="N524" i="21"/>
  <c r="N523" i="21" s="1"/>
  <c r="M524" i="21"/>
  <c r="P524" i="21" s="1"/>
  <c r="L524" i="21"/>
  <c r="M523" i="21"/>
  <c r="P523" i="21" s="1"/>
  <c r="K517" i="21"/>
  <c r="J517" i="21"/>
  <c r="J501" i="21" s="1"/>
  <c r="K516" i="21"/>
  <c r="P514" i="21"/>
  <c r="O514" i="21"/>
  <c r="P513" i="21"/>
  <c r="O513" i="21"/>
  <c r="P512" i="21"/>
  <c r="O512" i="21"/>
  <c r="N512" i="21"/>
  <c r="M512" i="21"/>
  <c r="L512" i="21"/>
  <c r="P507" i="21"/>
  <c r="O507" i="21"/>
  <c r="N507" i="21"/>
  <c r="P506" i="21"/>
  <c r="O506" i="21"/>
  <c r="O505" i="21"/>
  <c r="N505" i="21"/>
  <c r="M505" i="21"/>
  <c r="P505" i="21" s="1"/>
  <c r="L505" i="21"/>
  <c r="N504" i="21"/>
  <c r="M504" i="21"/>
  <c r="P504" i="21" s="1"/>
  <c r="L504" i="21"/>
  <c r="O504" i="21" s="1"/>
  <c r="N503" i="21"/>
  <c r="N502" i="21" s="1"/>
  <c r="M503" i="21"/>
  <c r="M502" i="21" s="1"/>
  <c r="P502" i="21" s="1"/>
  <c r="L503" i="21"/>
  <c r="O503" i="21" s="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L477" i="21" s="1"/>
  <c r="O477" i="21" s="1"/>
  <c r="P478" i="21"/>
  <c r="O478" i="21"/>
  <c r="P477" i="21"/>
  <c r="N477" i="21"/>
  <c r="M477" i="21"/>
  <c r="P472" i="21"/>
  <c r="N472" i="21"/>
  <c r="L472" i="21"/>
  <c r="L470" i="21" s="1"/>
  <c r="O470" i="21" s="1"/>
  <c r="P471" i="21"/>
  <c r="O471" i="21"/>
  <c r="N470" i="21"/>
  <c r="M470" i="21"/>
  <c r="P470" i="21" s="1"/>
  <c r="M469" i="21"/>
  <c r="P469" i="21" s="1"/>
  <c r="N468" i="21"/>
  <c r="M468" i="21"/>
  <c r="M467" i="21" s="1"/>
  <c r="P467" i="21" s="1"/>
  <c r="L468" i="21"/>
  <c r="O468" i="21" s="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60" i="21" s="1"/>
  <c r="K458" i="21"/>
  <c r="P456" i="21"/>
  <c r="L456" i="21"/>
  <c r="O456" i="21" s="1"/>
  <c r="P455" i="21"/>
  <c r="O455" i="21"/>
  <c r="P454" i="21"/>
  <c r="N454" i="21"/>
  <c r="M454" i="21"/>
  <c r="P449" i="21"/>
  <c r="N449" i="21"/>
  <c r="L449" i="21"/>
  <c r="L447" i="21" s="1"/>
  <c r="O447" i="21" s="1"/>
  <c r="P448" i="21"/>
  <c r="O448" i="21"/>
  <c r="P447" i="21"/>
  <c r="N447" i="21"/>
  <c r="M447" i="21"/>
  <c r="N446" i="21"/>
  <c r="M446" i="21"/>
  <c r="P446" i="21" s="1"/>
  <c r="N445" i="21"/>
  <c r="N444" i="21" s="1"/>
  <c r="M445" i="21"/>
  <c r="L445" i="21"/>
  <c r="O445" i="21" s="1"/>
  <c r="J443" i="21"/>
  <c r="J442" i="21"/>
  <c r="I441" i="21"/>
  <c r="K441" i="21" s="1"/>
  <c r="I440" i="21"/>
  <c r="K440" i="21" s="1"/>
  <c r="I439" i="21"/>
  <c r="K439" i="21" s="1"/>
  <c r="I438" i="21"/>
  <c r="K438" i="21" s="1"/>
  <c r="I437" i="21"/>
  <c r="K437" i="21" s="1"/>
  <c r="I435" i="21"/>
  <c r="I433" i="21" s="1"/>
  <c r="I417" i="21" s="1"/>
  <c r="J434" i="21"/>
  <c r="P431" i="21"/>
  <c r="L431" i="21"/>
  <c r="O431" i="21" s="1"/>
  <c r="P430" i="21"/>
  <c r="O430" i="21"/>
  <c r="P429" i="21"/>
  <c r="N429" i="21"/>
  <c r="M429" i="21"/>
  <c r="L429" i="21"/>
  <c r="O429" i="21" s="1"/>
  <c r="P424" i="21"/>
  <c r="N424" i="21"/>
  <c r="L424" i="21"/>
  <c r="O424" i="21" s="1"/>
  <c r="P423" i="21"/>
  <c r="O423" i="21"/>
  <c r="P422" i="21"/>
  <c r="N422" i="21"/>
  <c r="M422" i="21"/>
  <c r="N421" i="21"/>
  <c r="M421" i="21"/>
  <c r="P421" i="21" s="1"/>
  <c r="N420" i="21"/>
  <c r="M420" i="21"/>
  <c r="P420" i="21" s="1"/>
  <c r="L420" i="21"/>
  <c r="O420" i="21" s="1"/>
  <c r="J418" i="21"/>
  <c r="K413" i="21"/>
  <c r="K412" i="21"/>
  <c r="N410" i="21"/>
  <c r="N408" i="21" s="1"/>
  <c r="M410" i="21"/>
  <c r="P410" i="21" s="1"/>
  <c r="L410" i="21"/>
  <c r="O410" i="21" s="1"/>
  <c r="P409" i="21"/>
  <c r="O409" i="21"/>
  <c r="N407" i="21"/>
  <c r="N405" i="21" s="1"/>
  <c r="M407" i="21"/>
  <c r="L407" i="21"/>
  <c r="O407" i="21" s="1"/>
  <c r="P406" i="21"/>
  <c r="O406" i="21"/>
  <c r="P403" i="21"/>
  <c r="N403" i="21"/>
  <c r="M403" i="21"/>
  <c r="L403" i="21"/>
  <c r="J401" i="21"/>
  <c r="I401" i="21"/>
  <c r="K401" i="21" s="1"/>
  <c r="K400" i="21"/>
  <c r="K399" i="21"/>
  <c r="N397" i="21"/>
  <c r="N395" i="21" s="1"/>
  <c r="M397" i="21"/>
  <c r="L397" i="21"/>
  <c r="O397" i="21" s="1"/>
  <c r="P396" i="21"/>
  <c r="O396" i="21"/>
  <c r="N394" i="21"/>
  <c r="N392" i="21" s="1"/>
  <c r="M394" i="21"/>
  <c r="L394" i="21"/>
  <c r="L392" i="21" s="1"/>
  <c r="O392" i="21" s="1"/>
  <c r="P393" i="21"/>
  <c r="O393" i="21"/>
  <c r="N390" i="21"/>
  <c r="M390" i="21"/>
  <c r="P390" i="21" s="1"/>
  <c r="L390" i="21"/>
  <c r="O390" i="21" s="1"/>
  <c r="K388" i="21"/>
  <c r="J388" i="21"/>
  <c r="I388" i="2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M351" i="21" s="1"/>
  <c r="L353" i="21"/>
  <c r="L351" i="21" s="1"/>
  <c r="P352" i="21"/>
  <c r="O352" i="21"/>
  <c r="N350" i="21"/>
  <c r="M350" i="21"/>
  <c r="M348" i="21" s="1"/>
  <c r="L350" i="21"/>
  <c r="L348" i="21" s="1"/>
  <c r="P349" i="21"/>
  <c r="O349" i="21"/>
  <c r="O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L336" i="21"/>
  <c r="O336" i="21" s="1"/>
  <c r="P335" i="21"/>
  <c r="O335" i="21"/>
  <c r="N333" i="21"/>
  <c r="M333" i="21"/>
  <c r="M331" i="21" s="1"/>
  <c r="L333" i="21"/>
  <c r="L331" i="21" s="1"/>
  <c r="P332" i="21"/>
  <c r="O332" i="21"/>
  <c r="P329" i="21"/>
  <c r="N329" i="21"/>
  <c r="M329" i="21"/>
  <c r="L329" i="21"/>
  <c r="O329" i="21" s="1"/>
  <c r="I327" i="21"/>
  <c r="I325" i="21"/>
  <c r="N323" i="21"/>
  <c r="N321" i="21" s="1"/>
  <c r="M323" i="21"/>
  <c r="P323" i="21" s="1"/>
  <c r="L323" i="21"/>
  <c r="O323" i="21" s="1"/>
  <c r="P322" i="21"/>
  <c r="O322" i="21"/>
  <c r="N320" i="21"/>
  <c r="M320" i="21"/>
  <c r="P320" i="21" s="1"/>
  <c r="L320" i="21"/>
  <c r="O320" i="21" s="1"/>
  <c r="P319" i="21"/>
  <c r="O319" i="21"/>
  <c r="P316" i="21"/>
  <c r="N316" i="21"/>
  <c r="M316" i="21"/>
  <c r="L316" i="21"/>
  <c r="O316" i="21" s="1"/>
  <c r="J314" i="21"/>
  <c r="I312" i="21"/>
  <c r="K312" i="21" s="1"/>
  <c r="I311" i="21"/>
  <c r="K311" i="21" s="1"/>
  <c r="I310" i="21"/>
  <c r="K310" i="21" s="1"/>
  <c r="I309" i="21"/>
  <c r="I297" i="21" s="1"/>
  <c r="K297" i="21" s="1"/>
  <c r="N306" i="21"/>
  <c r="M306" i="21"/>
  <c r="P306" i="21" s="1"/>
  <c r="L306" i="21"/>
  <c r="O306" i="21" s="1"/>
  <c r="P305" i="21"/>
  <c r="O305" i="21"/>
  <c r="N303" i="21"/>
  <c r="N301" i="21" s="1"/>
  <c r="M303" i="21"/>
  <c r="L303" i="21"/>
  <c r="P302" i="21"/>
  <c r="O302" i="21"/>
  <c r="N299" i="21"/>
  <c r="M299" i="21"/>
  <c r="P299" i="21" s="1"/>
  <c r="L299" i="21"/>
  <c r="O299" i="21" s="1"/>
  <c r="J297" i="21"/>
  <c r="I294" i="21"/>
  <c r="K294" i="21" s="1"/>
  <c r="I293" i="21"/>
  <c r="K293" i="21" s="1"/>
  <c r="I291" i="21"/>
  <c r="K291" i="21" s="1"/>
  <c r="I290" i="21"/>
  <c r="K290" i="21" s="1"/>
  <c r="I288" i="21"/>
  <c r="J288" i="21" s="1"/>
  <c r="J275" i="21" s="1"/>
  <c r="I287" i="21"/>
  <c r="I276" i="21" s="1"/>
  <c r="K276" i="21" s="1"/>
  <c r="N285" i="21"/>
  <c r="N283" i="21" s="1"/>
  <c r="M285" i="21"/>
  <c r="M283" i="21" s="1"/>
  <c r="P283" i="21" s="1"/>
  <c r="L285" i="21"/>
  <c r="L283" i="21" s="1"/>
  <c r="O283" i="21" s="1"/>
  <c r="P284" i="21"/>
  <c r="O284" i="21"/>
  <c r="N282" i="21"/>
  <c r="M282" i="21"/>
  <c r="M280" i="21" s="1"/>
  <c r="L282" i="21"/>
  <c r="L280" i="21" s="1"/>
  <c r="P281" i="21"/>
  <c r="O281" i="21"/>
  <c r="O278" i="21"/>
  <c r="N278" i="21"/>
  <c r="M278" i="21"/>
  <c r="L278" i="21"/>
  <c r="J276" i="21"/>
  <c r="I271" i="21"/>
  <c r="K271" i="21" s="1"/>
  <c r="N269" i="21"/>
  <c r="N267" i="21" s="1"/>
  <c r="M269" i="21"/>
  <c r="L269" i="21"/>
  <c r="L267" i="21" s="1"/>
  <c r="O267" i="21" s="1"/>
  <c r="P268" i="21"/>
  <c r="O268" i="21"/>
  <c r="N266" i="21"/>
  <c r="N264" i="21" s="1"/>
  <c r="M266" i="21"/>
  <c r="L266" i="21"/>
  <c r="L264" i="21" s="1"/>
  <c r="P265" i="21"/>
  <c r="O265" i="21"/>
  <c r="P262" i="21"/>
  <c r="N262" i="21"/>
  <c r="M262" i="21"/>
  <c r="L262" i="21"/>
  <c r="J260" i="21"/>
  <c r="K258" i="21"/>
  <c r="K257" i="21"/>
  <c r="I255" i="21"/>
  <c r="L253" i="21"/>
  <c r="L252" i="21"/>
  <c r="L251" i="21"/>
  <c r="L250" i="21"/>
  <c r="P249" i="21"/>
  <c r="N249" i="21"/>
  <c r="J248" i="21"/>
  <c r="K247" i="21"/>
  <c r="K246" i="21"/>
  <c r="I244" i="21"/>
  <c r="K244" i="21" s="1"/>
  <c r="L242" i="21"/>
  <c r="L241" i="21"/>
  <c r="L240" i="21"/>
  <c r="L239" i="21"/>
  <c r="P238" i="21"/>
  <c r="N238" i="21"/>
  <c r="N227" i="21" s="1"/>
  <c r="J237" i="21"/>
  <c r="J226" i="21" s="1"/>
  <c r="J180" i="21" s="1"/>
  <c r="K236" i="21"/>
  <c r="J236" i="21"/>
  <c r="I236" i="21"/>
  <c r="K235" i="21"/>
  <c r="J235" i="21"/>
  <c r="I235" i="21"/>
  <c r="J233" i="21"/>
  <c r="N231" i="21"/>
  <c r="N230" i="21"/>
  <c r="N229" i="21"/>
  <c r="N228" i="21"/>
  <c r="I225" i="21"/>
  <c r="K225" i="21" s="1"/>
  <c r="I224" i="21"/>
  <c r="I216" i="21" s="1"/>
  <c r="K216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P189" i="21" s="1"/>
  <c r="L189" i="21"/>
  <c r="O189" i="21" s="1"/>
  <c r="P188" i="21"/>
  <c r="O188" i="21"/>
  <c r="N186" i="21"/>
  <c r="M186" i="21"/>
  <c r="L186" i="21"/>
  <c r="L184" i="21" s="1"/>
  <c r="P185" i="21"/>
  <c r="O185" i="21"/>
  <c r="P182" i="21"/>
  <c r="N182" i="21"/>
  <c r="M182" i="21"/>
  <c r="L182" i="21"/>
  <c r="O182" i="21" s="1"/>
  <c r="J177" i="21"/>
  <c r="J164" i="21" s="1"/>
  <c r="I176" i="21"/>
  <c r="K176" i="21" s="1"/>
  <c r="J174" i="21"/>
  <c r="N173" i="21"/>
  <c r="N171" i="21" s="1"/>
  <c r="M173" i="21"/>
  <c r="P173" i="21" s="1"/>
  <c r="L173" i="21"/>
  <c r="O173" i="21" s="1"/>
  <c r="P172" i="21"/>
  <c r="O172" i="21"/>
  <c r="N170" i="21"/>
  <c r="M170" i="21"/>
  <c r="L170" i="21"/>
  <c r="L168" i="21" s="1"/>
  <c r="P169" i="21"/>
  <c r="O169" i="21"/>
  <c r="P166" i="21"/>
  <c r="N166" i="21"/>
  <c r="M166" i="21"/>
  <c r="L166" i="21"/>
  <c r="O166" i="21" s="1"/>
  <c r="I159" i="21"/>
  <c r="K159" i="21" s="1"/>
  <c r="N157" i="21"/>
  <c r="M157" i="21"/>
  <c r="L157" i="21"/>
  <c r="O157" i="21" s="1"/>
  <c r="P156" i="21"/>
  <c r="O156" i="21"/>
  <c r="N154" i="21"/>
  <c r="N152" i="21" s="1"/>
  <c r="M154" i="21"/>
  <c r="L154" i="21"/>
  <c r="L152" i="21" s="1"/>
  <c r="O152" i="21" s="1"/>
  <c r="P153" i="21"/>
  <c r="O153" i="21"/>
  <c r="P150" i="21"/>
  <c r="N150" i="21"/>
  <c r="M150" i="21"/>
  <c r="L150" i="21"/>
  <c r="J148" i="21"/>
  <c r="I146" i="21"/>
  <c r="I130" i="21" s="1"/>
  <c r="K130" i="21" s="1"/>
  <c r="I145" i="21"/>
  <c r="I144" i="21"/>
  <c r="K144" i="21" s="1"/>
  <c r="N140" i="21"/>
  <c r="N138" i="21" s="1"/>
  <c r="M140" i="21"/>
  <c r="M138" i="21" s="1"/>
  <c r="P138" i="21" s="1"/>
  <c r="L140" i="21"/>
  <c r="O140" i="21" s="1"/>
  <c r="P139" i="21"/>
  <c r="O139" i="21"/>
  <c r="N137" i="21"/>
  <c r="N135" i="21" s="1"/>
  <c r="M137" i="21"/>
  <c r="M135" i="21" s="1"/>
  <c r="P135" i="21" s="1"/>
  <c r="L137" i="21"/>
  <c r="O137" i="21" s="1"/>
  <c r="P136" i="21"/>
  <c r="O136" i="21"/>
  <c r="O133" i="21"/>
  <c r="N133" i="21"/>
  <c r="M133" i="21"/>
  <c r="L133" i="21"/>
  <c r="J130" i="21"/>
  <c r="N127" i="21"/>
  <c r="M127" i="21"/>
  <c r="L127" i="21"/>
  <c r="O127" i="21" s="1"/>
  <c r="P126" i="21"/>
  <c r="O126" i="21"/>
  <c r="N124" i="21"/>
  <c r="N122" i="21" s="1"/>
  <c r="M124" i="21"/>
  <c r="L124" i="21"/>
  <c r="O124" i="21" s="1"/>
  <c r="P123" i="21"/>
  <c r="O123" i="21"/>
  <c r="P120" i="21"/>
  <c r="N120" i="21"/>
  <c r="M120" i="21"/>
  <c r="L120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K99" i="21" s="1"/>
  <c r="J98" i="21"/>
  <c r="I98" i="21"/>
  <c r="K98" i="21" s="1"/>
  <c r="N96" i="21"/>
  <c r="N94" i="21" s="1"/>
  <c r="M96" i="21"/>
  <c r="P96" i="21" s="1"/>
  <c r="L96" i="21"/>
  <c r="O96" i="21" s="1"/>
  <c r="P95" i="21"/>
  <c r="O95" i="21"/>
  <c r="N93" i="21"/>
  <c r="M93" i="21"/>
  <c r="L93" i="21"/>
  <c r="L91" i="21" s="1"/>
  <c r="P92" i="21"/>
  <c r="O92" i="21"/>
  <c r="P89" i="21"/>
  <c r="N89" i="21"/>
  <c r="M89" i="21"/>
  <c r="L89" i="21"/>
  <c r="O89" i="21" s="1"/>
  <c r="J86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I78" i="21"/>
  <c r="K78" i="21" s="1"/>
  <c r="J77" i="21"/>
  <c r="J76" i="21"/>
  <c r="J64" i="21" s="1"/>
  <c r="N74" i="21"/>
  <c r="N72" i="21" s="1"/>
  <c r="M74" i="21"/>
  <c r="P74" i="21" s="1"/>
  <c r="L74" i="21"/>
  <c r="P73" i="21"/>
  <c r="O73" i="21"/>
  <c r="N71" i="21"/>
  <c r="M71" i="21"/>
  <c r="M69" i="21" s="1"/>
  <c r="L71" i="21"/>
  <c r="P70" i="21"/>
  <c r="O70" i="21"/>
  <c r="O67" i="21"/>
  <c r="N67" i="21"/>
  <c r="M67" i="21"/>
  <c r="L67" i="21"/>
  <c r="J65" i="21"/>
  <c r="N61" i="21"/>
  <c r="M61" i="21"/>
  <c r="M59" i="21" s="1"/>
  <c r="L61" i="21"/>
  <c r="L59" i="21" s="1"/>
  <c r="P60" i="21"/>
  <c r="O60" i="21"/>
  <c r="N58" i="21"/>
  <c r="N56" i="21" s="1"/>
  <c r="M58" i="21"/>
  <c r="M56" i="21" s="1"/>
  <c r="L58" i="21"/>
  <c r="L56" i="21" s="1"/>
  <c r="P57" i="21"/>
  <c r="O57" i="21"/>
  <c r="P54" i="21"/>
  <c r="N54" i="21"/>
  <c r="M54" i="21"/>
  <c r="L54" i="21"/>
  <c r="N49" i="21"/>
  <c r="N47" i="21" s="1"/>
  <c r="M49" i="21"/>
  <c r="M47" i="21" s="1"/>
  <c r="P47" i="21" s="1"/>
  <c r="L49" i="21"/>
  <c r="P48" i="21"/>
  <c r="O48" i="21"/>
  <c r="N46" i="21"/>
  <c r="N44" i="21" s="1"/>
  <c r="M46" i="21"/>
  <c r="L46" i="21"/>
  <c r="L44" i="21" s="1"/>
  <c r="P45" i="21"/>
  <c r="O45" i="21"/>
  <c r="N42" i="21"/>
  <c r="M42" i="21"/>
  <c r="P42" i="21" s="1"/>
  <c r="L42" i="21"/>
  <c r="O42" i="21" s="1"/>
  <c r="P36" i="21"/>
  <c r="N36" i="21"/>
  <c r="M36" i="21"/>
  <c r="P35" i="21"/>
  <c r="O35" i="21"/>
  <c r="N35" i="21"/>
  <c r="N34" i="21" s="1"/>
  <c r="M35" i="21"/>
  <c r="M34" i="21" s="1"/>
  <c r="P34" i="21" s="1"/>
  <c r="L35" i="21"/>
  <c r="N33" i="21"/>
  <c r="M33" i="21"/>
  <c r="M31" i="21" s="1"/>
  <c r="P31" i="21" s="1"/>
  <c r="P32" i="21"/>
  <c r="N32" i="21"/>
  <c r="N31" i="21" s="1"/>
  <c r="M32" i="21"/>
  <c r="M29" i="21" s="1"/>
  <c r="L32" i="21"/>
  <c r="N30" i="21"/>
  <c r="P25" i="21"/>
  <c r="N25" i="21"/>
  <c r="M25" i="21"/>
  <c r="L25" i="21"/>
  <c r="L19" i="21" s="1"/>
  <c r="O22" i="21"/>
  <c r="N22" i="21"/>
  <c r="M22" i="21"/>
  <c r="M19" i="21" s="1"/>
  <c r="L22" i="21"/>
  <c r="N19" i="21"/>
  <c r="M15" i="21"/>
  <c r="P15" i="21" s="1"/>
  <c r="L12" i="2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P817" i="20"/>
  <c r="O817" i="20"/>
  <c r="P816" i="20"/>
  <c r="O816" i="20"/>
  <c r="N815" i="20"/>
  <c r="M815" i="20"/>
  <c r="P815" i="20" s="1"/>
  <c r="L815" i="20"/>
  <c r="O815" i="20" s="1"/>
  <c r="P810" i="20"/>
  <c r="O810" i="20"/>
  <c r="N810" i="20"/>
  <c r="P809" i="20"/>
  <c r="O809" i="20"/>
  <c r="P808" i="20"/>
  <c r="O808" i="20"/>
  <c r="N808" i="20"/>
  <c r="M808" i="20"/>
  <c r="L808" i="20"/>
  <c r="O807" i="20"/>
  <c r="N807" i="20"/>
  <c r="M807" i="20"/>
  <c r="P807" i="20" s="1"/>
  <c r="L807" i="20"/>
  <c r="N806" i="20"/>
  <c r="N805" i="20" s="1"/>
  <c r="M806" i="20"/>
  <c r="P806" i="20" s="1"/>
  <c r="L806" i="20"/>
  <c r="O806" i="20" s="1"/>
  <c r="M805" i="20"/>
  <c r="P805" i="20" s="1"/>
  <c r="K804" i="20"/>
  <c r="J804" i="20"/>
  <c r="K802" i="20"/>
  <c r="J801" i="20"/>
  <c r="J800" i="20"/>
  <c r="J785" i="20" s="1"/>
  <c r="I800" i="20"/>
  <c r="I785" i="20" s="1"/>
  <c r="K785" i="20" s="1"/>
  <c r="P798" i="20"/>
  <c r="O798" i="20"/>
  <c r="P797" i="20"/>
  <c r="O797" i="20"/>
  <c r="P796" i="20"/>
  <c r="O796" i="20"/>
  <c r="N796" i="20"/>
  <c r="M796" i="20"/>
  <c r="L796" i="20"/>
  <c r="P791" i="20"/>
  <c r="N791" i="20"/>
  <c r="N788" i="20" s="1"/>
  <c r="L791" i="20"/>
  <c r="L789" i="20" s="1"/>
  <c r="O789" i="20" s="1"/>
  <c r="P790" i="20"/>
  <c r="O790" i="20"/>
  <c r="P789" i="20"/>
  <c r="N789" i="20"/>
  <c r="M789" i="20"/>
  <c r="M788" i="20"/>
  <c r="P788" i="20" s="1"/>
  <c r="N787" i="20"/>
  <c r="N786" i="20" s="1"/>
  <c r="M787" i="20"/>
  <c r="P787" i="20" s="1"/>
  <c r="L787" i="20"/>
  <c r="O787" i="20" s="1"/>
  <c r="M786" i="20"/>
  <c r="P786" i="20" s="1"/>
  <c r="P782" i="20"/>
  <c r="O782" i="20"/>
  <c r="P781" i="20"/>
  <c r="O781" i="20"/>
  <c r="N780" i="20"/>
  <c r="M780" i="20"/>
  <c r="P780" i="20" s="1"/>
  <c r="L780" i="20"/>
  <c r="O780" i="20" s="1"/>
  <c r="P775" i="20"/>
  <c r="O775" i="20"/>
  <c r="N775" i="20"/>
  <c r="N773" i="20" s="1"/>
  <c r="P774" i="20"/>
  <c r="O774" i="20"/>
  <c r="P773" i="20"/>
  <c r="O773" i="20"/>
  <c r="M773" i="20"/>
  <c r="L773" i="20"/>
  <c r="P772" i="20"/>
  <c r="O772" i="20"/>
  <c r="N772" i="20"/>
  <c r="M772" i="20"/>
  <c r="L772" i="20"/>
  <c r="O771" i="20"/>
  <c r="N771" i="20"/>
  <c r="M771" i="20"/>
  <c r="P771" i="20" s="1"/>
  <c r="L771" i="20"/>
  <c r="N770" i="20"/>
  <c r="L770" i="20"/>
  <c r="O770" i="20" s="1"/>
  <c r="K769" i="20"/>
  <c r="J769" i="20"/>
  <c r="P766" i="20"/>
  <c r="O766" i="20"/>
  <c r="P765" i="20"/>
  <c r="O765" i="20"/>
  <c r="N764" i="20"/>
  <c r="M764" i="20"/>
  <c r="P764" i="20" s="1"/>
  <c r="L764" i="20"/>
  <c r="O764" i="20" s="1"/>
  <c r="P759" i="20"/>
  <c r="O759" i="20"/>
  <c r="N759" i="20"/>
  <c r="N757" i="20" s="1"/>
  <c r="P758" i="20"/>
  <c r="O758" i="20"/>
  <c r="P757" i="20"/>
  <c r="O757" i="20"/>
  <c r="M757" i="20"/>
  <c r="L757" i="20"/>
  <c r="P756" i="20"/>
  <c r="O756" i="20"/>
  <c r="N756" i="20"/>
  <c r="M756" i="20"/>
  <c r="L756" i="20"/>
  <c r="O755" i="20"/>
  <c r="N755" i="20"/>
  <c r="M755" i="20"/>
  <c r="P755" i="20" s="1"/>
  <c r="L755" i="20"/>
  <c r="N754" i="20"/>
  <c r="L754" i="20"/>
  <c r="O754" i="20" s="1"/>
  <c r="K753" i="20"/>
  <c r="J753" i="20"/>
  <c r="P749" i="20"/>
  <c r="O749" i="20"/>
  <c r="P748" i="20"/>
  <c r="O748" i="20"/>
  <c r="N747" i="20"/>
  <c r="M747" i="20"/>
  <c r="P747" i="20" s="1"/>
  <c r="L747" i="20"/>
  <c r="O747" i="20" s="1"/>
  <c r="P742" i="20"/>
  <c r="O742" i="20"/>
  <c r="N742" i="20"/>
  <c r="N740" i="20" s="1"/>
  <c r="P741" i="20"/>
  <c r="O741" i="20"/>
  <c r="P740" i="20"/>
  <c r="O740" i="20"/>
  <c r="M740" i="20"/>
  <c r="L740" i="20"/>
  <c r="P739" i="20"/>
  <c r="O739" i="20"/>
  <c r="N739" i="20"/>
  <c r="M739" i="20"/>
  <c r="L739" i="20"/>
  <c r="O738" i="20"/>
  <c r="N738" i="20"/>
  <c r="M738" i="20"/>
  <c r="P738" i="20" s="1"/>
  <c r="L738" i="20"/>
  <c r="N737" i="20"/>
  <c r="M737" i="20"/>
  <c r="P737" i="20" s="1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J700" i="20"/>
  <c r="I700" i="20"/>
  <c r="J699" i="20"/>
  <c r="I699" i="20"/>
  <c r="P697" i="20"/>
  <c r="O697" i="20"/>
  <c r="P696" i="20"/>
  <c r="O696" i="20"/>
  <c r="N695" i="20"/>
  <c r="M695" i="20"/>
  <c r="P695" i="20" s="1"/>
  <c r="L695" i="20"/>
  <c r="O695" i="20" s="1"/>
  <c r="P690" i="20"/>
  <c r="N690" i="20"/>
  <c r="L690" i="20"/>
  <c r="L688" i="20" s="1"/>
  <c r="O688" i="20" s="1"/>
  <c r="P688" i="20"/>
  <c r="N688" i="20"/>
  <c r="M688" i="20"/>
  <c r="N687" i="20"/>
  <c r="M687" i="20"/>
  <c r="P687" i="20" s="1"/>
  <c r="N686" i="20"/>
  <c r="N685" i="20" s="1"/>
  <c r="M686" i="20"/>
  <c r="P686" i="20" s="1"/>
  <c r="L686" i="20"/>
  <c r="O686" i="20" s="1"/>
  <c r="J679" i="20"/>
  <c r="J678" i="20" s="1"/>
  <c r="I678" i="20"/>
  <c r="K678" i="20" s="1"/>
  <c r="J675" i="20"/>
  <c r="J669" i="20" s="1"/>
  <c r="J654" i="20" s="1"/>
  <c r="I671" i="20"/>
  <c r="K671" i="20" s="1"/>
  <c r="I670" i="20"/>
  <c r="K670" i="20" s="1"/>
  <c r="I669" i="20"/>
  <c r="I654" i="20" s="1"/>
  <c r="K654" i="20" s="1"/>
  <c r="P667" i="20"/>
  <c r="O667" i="20"/>
  <c r="P666" i="20"/>
  <c r="O666" i="20"/>
  <c r="N665" i="20"/>
  <c r="M665" i="20"/>
  <c r="P665" i="20" s="1"/>
  <c r="L665" i="20"/>
  <c r="O665" i="20" s="1"/>
  <c r="P660" i="20"/>
  <c r="N660" i="20"/>
  <c r="N657" i="20" s="1"/>
  <c r="N655" i="20" s="1"/>
  <c r="L660" i="20"/>
  <c r="O660" i="20" s="1"/>
  <c r="P659" i="20"/>
  <c r="O659" i="20"/>
  <c r="N658" i="20"/>
  <c r="M658" i="20"/>
  <c r="P658" i="20" s="1"/>
  <c r="P657" i="20"/>
  <c r="M657" i="20"/>
  <c r="P656" i="20"/>
  <c r="O656" i="20"/>
  <c r="N656" i="20"/>
  <c r="M656" i="20"/>
  <c r="M655" i="20" s="1"/>
  <c r="P655" i="20" s="1"/>
  <c r="L656" i="20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L639" i="20" s="1"/>
  <c r="O639" i="20" s="1"/>
  <c r="P640" i="20"/>
  <c r="O640" i="20"/>
  <c r="P639" i="20"/>
  <c r="N639" i="20"/>
  <c r="M639" i="20"/>
  <c r="P634" i="20"/>
  <c r="N634" i="20"/>
  <c r="L634" i="20"/>
  <c r="L632" i="20" s="1"/>
  <c r="O632" i="20" s="1"/>
  <c r="P633" i="20"/>
  <c r="O633" i="20"/>
  <c r="N632" i="20"/>
  <c r="M632" i="20"/>
  <c r="P632" i="20" s="1"/>
  <c r="N631" i="20"/>
  <c r="M631" i="20"/>
  <c r="P631" i="20" s="1"/>
  <c r="N630" i="20"/>
  <c r="N629" i="20" s="1"/>
  <c r="M630" i="20"/>
  <c r="M629" i="20" s="1"/>
  <c r="P629" i="20" s="1"/>
  <c r="L630" i="20"/>
  <c r="O630" i="20" s="1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I594" i="20"/>
  <c r="K594" i="20" s="1"/>
  <c r="J593" i="20"/>
  <c r="J592" i="20" s="1"/>
  <c r="I593" i="20"/>
  <c r="I592" i="20" s="1"/>
  <c r="K592" i="20" s="1"/>
  <c r="J583" i="20"/>
  <c r="J582" i="20"/>
  <c r="J576" i="20" s="1"/>
  <c r="J559" i="20" s="1"/>
  <c r="J543" i="20" s="1"/>
  <c r="J577" i="20"/>
  <c r="I577" i="20"/>
  <c r="K577" i="20" s="1"/>
  <c r="I576" i="20"/>
  <c r="J569" i="20"/>
  <c r="I569" i="20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P556" i="20"/>
  <c r="O556" i="20"/>
  <c r="N555" i="20"/>
  <c r="M555" i="20"/>
  <c r="P549" i="20"/>
  <c r="N549" i="20"/>
  <c r="N546" i="20" s="1"/>
  <c r="L549" i="20"/>
  <c r="O549" i="20" s="1"/>
  <c r="P548" i="20"/>
  <c r="O548" i="20"/>
  <c r="P547" i="20"/>
  <c r="N547" i="20"/>
  <c r="M547" i="20"/>
  <c r="L547" i="20"/>
  <c r="O547" i="20" s="1"/>
  <c r="P546" i="20"/>
  <c r="M546" i="20"/>
  <c r="O545" i="20"/>
  <c r="N545" i="20"/>
  <c r="N544" i="20" s="1"/>
  <c r="L545" i="20"/>
  <c r="I542" i="20"/>
  <c r="K542" i="20" s="1"/>
  <c r="I541" i="20"/>
  <c r="K541" i="20" s="1"/>
  <c r="I540" i="20"/>
  <c r="I539" i="20"/>
  <c r="K539" i="20" s="1"/>
  <c r="I538" i="20"/>
  <c r="K538" i="20" s="1"/>
  <c r="I537" i="20"/>
  <c r="P535" i="20"/>
  <c r="L535" i="20"/>
  <c r="P534" i="20"/>
  <c r="O534" i="20"/>
  <c r="P533" i="20"/>
  <c r="N533" i="20"/>
  <c r="M533" i="20"/>
  <c r="P528" i="20"/>
  <c r="N528" i="20"/>
  <c r="N525" i="20" s="1"/>
  <c r="L528" i="20"/>
  <c r="O528" i="20" s="1"/>
  <c r="P527" i="20"/>
  <c r="O527" i="20"/>
  <c r="P526" i="20"/>
  <c r="N526" i="20"/>
  <c r="M526" i="20"/>
  <c r="L526" i="20"/>
  <c r="O526" i="20" s="1"/>
  <c r="M525" i="20"/>
  <c r="P525" i="20" s="1"/>
  <c r="N524" i="20"/>
  <c r="M524" i="20"/>
  <c r="P524" i="20" s="1"/>
  <c r="L524" i="20"/>
  <c r="K517" i="20"/>
  <c r="J517" i="20"/>
  <c r="K516" i="20"/>
  <c r="P514" i="20"/>
  <c r="O514" i="20"/>
  <c r="P513" i="20"/>
  <c r="O513" i="20"/>
  <c r="P512" i="20"/>
  <c r="O512" i="20"/>
  <c r="N512" i="20"/>
  <c r="M512" i="20"/>
  <c r="L512" i="20"/>
  <c r="P507" i="20"/>
  <c r="O507" i="20"/>
  <c r="N507" i="20"/>
  <c r="P506" i="20"/>
  <c r="O506" i="20"/>
  <c r="M505" i="20"/>
  <c r="P505" i="20" s="1"/>
  <c r="L505" i="20"/>
  <c r="O505" i="20" s="1"/>
  <c r="M504" i="20"/>
  <c r="P504" i="20" s="1"/>
  <c r="L504" i="20"/>
  <c r="O504" i="20" s="1"/>
  <c r="P503" i="20"/>
  <c r="N503" i="20"/>
  <c r="M503" i="20"/>
  <c r="L503" i="20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L477" i="20" s="1"/>
  <c r="O477" i="20" s="1"/>
  <c r="P478" i="20"/>
  <c r="O478" i="20"/>
  <c r="P477" i="20"/>
  <c r="N477" i="20"/>
  <c r="M477" i="20"/>
  <c r="P472" i="20"/>
  <c r="N472" i="20"/>
  <c r="L472" i="20"/>
  <c r="O472" i="20" s="1"/>
  <c r="P471" i="20"/>
  <c r="O471" i="20"/>
  <c r="N470" i="20"/>
  <c r="M470" i="20"/>
  <c r="P470" i="20" s="1"/>
  <c r="N469" i="20"/>
  <c r="M469" i="20"/>
  <c r="P469" i="20" s="1"/>
  <c r="P468" i="20"/>
  <c r="N468" i="20"/>
  <c r="M468" i="20"/>
  <c r="L468" i="20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K460" i="20" s="1"/>
  <c r="K458" i="20"/>
  <c r="P456" i="20"/>
  <c r="L456" i="20"/>
  <c r="O456" i="20" s="1"/>
  <c r="P455" i="20"/>
  <c r="O455" i="20"/>
  <c r="P454" i="20"/>
  <c r="N454" i="20"/>
  <c r="M454" i="20"/>
  <c r="P449" i="20"/>
  <c r="N449" i="20"/>
  <c r="L449" i="20"/>
  <c r="P448" i="20"/>
  <c r="O448" i="20"/>
  <c r="N447" i="20"/>
  <c r="M447" i="20"/>
  <c r="P447" i="20" s="1"/>
  <c r="N446" i="20"/>
  <c r="M446" i="20"/>
  <c r="P446" i="20" s="1"/>
  <c r="N445" i="20"/>
  <c r="M445" i="20"/>
  <c r="P445" i="20" s="1"/>
  <c r="L445" i="20"/>
  <c r="O445" i="20" s="1"/>
  <c r="J443" i="20"/>
  <c r="J442" i="20"/>
  <c r="I441" i="20"/>
  <c r="K441" i="20" s="1"/>
  <c r="I440" i="20"/>
  <c r="K440" i="20" s="1"/>
  <c r="I439" i="20"/>
  <c r="I438" i="20"/>
  <c r="I437" i="20"/>
  <c r="K437" i="20" s="1"/>
  <c r="I435" i="20"/>
  <c r="K435" i="20" s="1"/>
  <c r="J434" i="20"/>
  <c r="J418" i="20" s="1"/>
  <c r="P431" i="20"/>
  <c r="L431" i="20"/>
  <c r="O431" i="20" s="1"/>
  <c r="P430" i="20"/>
  <c r="O430" i="20"/>
  <c r="P429" i="20"/>
  <c r="N429" i="20"/>
  <c r="M429" i="20"/>
  <c r="L429" i="20"/>
  <c r="O429" i="20" s="1"/>
  <c r="P424" i="20"/>
  <c r="N424" i="20"/>
  <c r="N421" i="20" s="1"/>
  <c r="L424" i="20"/>
  <c r="L422" i="20" s="1"/>
  <c r="O422" i="20" s="1"/>
  <c r="P423" i="20"/>
  <c r="O423" i="20"/>
  <c r="P422" i="20"/>
  <c r="N422" i="20"/>
  <c r="M422" i="20"/>
  <c r="M421" i="20"/>
  <c r="P421" i="20" s="1"/>
  <c r="N420" i="20"/>
  <c r="M420" i="20"/>
  <c r="P420" i="20" s="1"/>
  <c r="L420" i="20"/>
  <c r="M419" i="20"/>
  <c r="K413" i="20"/>
  <c r="K412" i="20"/>
  <c r="N410" i="20"/>
  <c r="N408" i="20" s="1"/>
  <c r="M410" i="20"/>
  <c r="P410" i="20" s="1"/>
  <c r="L410" i="20"/>
  <c r="O410" i="20" s="1"/>
  <c r="P409" i="20"/>
  <c r="O409" i="20"/>
  <c r="N407" i="20"/>
  <c r="M407" i="20"/>
  <c r="P407" i="20" s="1"/>
  <c r="L407" i="20"/>
  <c r="O407" i="20" s="1"/>
  <c r="P406" i="20"/>
  <c r="O406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L397" i="20"/>
  <c r="L395" i="20" s="1"/>
  <c r="O395" i="20" s="1"/>
  <c r="P396" i="20"/>
  <c r="O396" i="20"/>
  <c r="N394" i="20"/>
  <c r="N392" i="20" s="1"/>
  <c r="M394" i="20"/>
  <c r="P394" i="20" s="1"/>
  <c r="L394" i="20"/>
  <c r="P393" i="20"/>
  <c r="O393" i="20"/>
  <c r="O390" i="20"/>
  <c r="N390" i="20"/>
  <c r="M390" i="20"/>
  <c r="P390" i="20" s="1"/>
  <c r="L390" i="20"/>
  <c r="K388" i="20"/>
  <c r="J388" i="20"/>
  <c r="I388" i="20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M353" i="20"/>
  <c r="M351" i="20" s="1"/>
  <c r="L353" i="20"/>
  <c r="P352" i="20"/>
  <c r="O352" i="20"/>
  <c r="N350" i="20"/>
  <c r="M350" i="20"/>
  <c r="L350" i="20"/>
  <c r="L348" i="20" s="1"/>
  <c r="P349" i="20"/>
  <c r="O349" i="20"/>
  <c r="N346" i="20"/>
  <c r="M346" i="20"/>
  <c r="P346" i="20" s="1"/>
  <c r="L346" i="20"/>
  <c r="O346" i="20" s="1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L334" i="20" s="1"/>
  <c r="O334" i="20" s="1"/>
  <c r="P335" i="20"/>
  <c r="O335" i="20"/>
  <c r="N333" i="20"/>
  <c r="N331" i="20" s="1"/>
  <c r="M333" i="20"/>
  <c r="L333" i="20"/>
  <c r="L331" i="20" s="1"/>
  <c r="P332" i="20"/>
  <c r="O332" i="20"/>
  <c r="N329" i="20"/>
  <c r="M329" i="20"/>
  <c r="L329" i="20"/>
  <c r="I327" i="20"/>
  <c r="I325" i="20"/>
  <c r="I314" i="20" s="1"/>
  <c r="K314" i="20" s="1"/>
  <c r="N323" i="20"/>
  <c r="N321" i="20" s="1"/>
  <c r="M323" i="20"/>
  <c r="L323" i="20"/>
  <c r="L321" i="20" s="1"/>
  <c r="O321" i="20" s="1"/>
  <c r="P322" i="20"/>
  <c r="O322" i="20"/>
  <c r="N320" i="20"/>
  <c r="N318" i="20" s="1"/>
  <c r="M320" i="20"/>
  <c r="M318" i="20" s="1"/>
  <c r="P318" i="20" s="1"/>
  <c r="L320" i="20"/>
  <c r="O320" i="20" s="1"/>
  <c r="P319" i="20"/>
  <c r="O319" i="20"/>
  <c r="N316" i="20"/>
  <c r="M316" i="20"/>
  <c r="L316" i="20"/>
  <c r="O316" i="20" s="1"/>
  <c r="J314" i="20"/>
  <c r="I312" i="20"/>
  <c r="K312" i="20" s="1"/>
  <c r="I311" i="20"/>
  <c r="K311" i="20" s="1"/>
  <c r="I310" i="20"/>
  <c r="K310" i="20" s="1"/>
  <c r="I309" i="20"/>
  <c r="I297" i="20" s="1"/>
  <c r="K297" i="20" s="1"/>
  <c r="N306" i="20"/>
  <c r="N304" i="20" s="1"/>
  <c r="M306" i="20"/>
  <c r="P306" i="20" s="1"/>
  <c r="L306" i="20"/>
  <c r="L304" i="20" s="1"/>
  <c r="O304" i="20" s="1"/>
  <c r="P305" i="20"/>
  <c r="O305" i="20"/>
  <c r="N303" i="20"/>
  <c r="N301" i="20" s="1"/>
  <c r="M303" i="20"/>
  <c r="L303" i="20"/>
  <c r="L301" i="20" s="1"/>
  <c r="P302" i="20"/>
  <c r="O302" i="20"/>
  <c r="O299" i="20"/>
  <c r="N299" i="20"/>
  <c r="M299" i="20"/>
  <c r="P299" i="20" s="1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87" i="20"/>
  <c r="K287" i="20" s="1"/>
  <c r="N285" i="20"/>
  <c r="N283" i="20" s="1"/>
  <c r="M285" i="20"/>
  <c r="M283" i="20" s="1"/>
  <c r="P283" i="20" s="1"/>
  <c r="L285" i="20"/>
  <c r="O285" i="20" s="1"/>
  <c r="P284" i="20"/>
  <c r="O284" i="20"/>
  <c r="N282" i="20"/>
  <c r="N280" i="20" s="1"/>
  <c r="M282" i="20"/>
  <c r="M280" i="20" s="1"/>
  <c r="L282" i="20"/>
  <c r="P281" i="20"/>
  <c r="O281" i="20"/>
  <c r="P278" i="20"/>
  <c r="O278" i="20"/>
  <c r="N278" i="20"/>
  <c r="M278" i="20"/>
  <c r="L278" i="20"/>
  <c r="J276" i="20"/>
  <c r="I271" i="20"/>
  <c r="I260" i="20" s="1"/>
  <c r="K260" i="20" s="1"/>
  <c r="N269" i="20"/>
  <c r="N267" i="20" s="1"/>
  <c r="M269" i="20"/>
  <c r="P269" i="20" s="1"/>
  <c r="L269" i="20"/>
  <c r="L267" i="20" s="1"/>
  <c r="O267" i="20" s="1"/>
  <c r="P268" i="20"/>
  <c r="O268" i="20"/>
  <c r="N266" i="20"/>
  <c r="N264" i="20" s="1"/>
  <c r="M266" i="20"/>
  <c r="L266" i="20"/>
  <c r="L264" i="20" s="1"/>
  <c r="P265" i="20"/>
  <c r="O265" i="20"/>
  <c r="O262" i="20"/>
  <c r="N262" i="20"/>
  <c r="M262" i="20"/>
  <c r="P262" i="20" s="1"/>
  <c r="L262" i="20"/>
  <c r="J260" i="20"/>
  <c r="K258" i="20"/>
  <c r="K257" i="20"/>
  <c r="I255" i="20"/>
  <c r="I248" i="20" s="1"/>
  <c r="K248" i="20" s="1"/>
  <c r="L253" i="20"/>
  <c r="L252" i="20"/>
  <c r="L251" i="20"/>
  <c r="L250" i="20"/>
  <c r="P249" i="20"/>
  <c r="N249" i="20"/>
  <c r="J248" i="20"/>
  <c r="J226" i="20" s="1"/>
  <c r="J180" i="20" s="1"/>
  <c r="K247" i="20"/>
  <c r="K246" i="20"/>
  <c r="I244" i="20"/>
  <c r="L242" i="20"/>
  <c r="L241" i="20"/>
  <c r="L240" i="20"/>
  <c r="L239" i="20"/>
  <c r="P238" i="20"/>
  <c r="N238" i="20"/>
  <c r="J237" i="20"/>
  <c r="J236" i="20"/>
  <c r="I236" i="20"/>
  <c r="K236" i="20" s="1"/>
  <c r="J235" i="20"/>
  <c r="I235" i="20"/>
  <c r="K235" i="20" s="1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I197" i="20" s="1"/>
  <c r="K197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M187" i="20" s="1"/>
  <c r="P187" i="20" s="1"/>
  <c r="L189" i="20"/>
  <c r="P188" i="20"/>
  <c r="O188" i="20"/>
  <c r="N186" i="20"/>
  <c r="M186" i="20"/>
  <c r="L186" i="20"/>
  <c r="L184" i="20" s="1"/>
  <c r="P185" i="20"/>
  <c r="O185" i="20"/>
  <c r="O182" i="20"/>
  <c r="N182" i="20"/>
  <c r="M182" i="20"/>
  <c r="P182" i="20" s="1"/>
  <c r="L182" i="20"/>
  <c r="K180" i="20"/>
  <c r="J177" i="20"/>
  <c r="I176" i="20"/>
  <c r="I174" i="20" s="1"/>
  <c r="J174" i="20"/>
  <c r="J164" i="20" s="1"/>
  <c r="N173" i="20"/>
  <c r="N171" i="20" s="1"/>
  <c r="M173" i="20"/>
  <c r="L173" i="20"/>
  <c r="O173" i="20" s="1"/>
  <c r="P172" i="20"/>
  <c r="O172" i="20"/>
  <c r="N170" i="20"/>
  <c r="M170" i="20"/>
  <c r="M168" i="20" s="1"/>
  <c r="L170" i="20"/>
  <c r="P169" i="20"/>
  <c r="O169" i="20"/>
  <c r="P166" i="20"/>
  <c r="N166" i="20"/>
  <c r="M166" i="20"/>
  <c r="L166" i="20"/>
  <c r="O166" i="20" s="1"/>
  <c r="I159" i="20"/>
  <c r="K159" i="20" s="1"/>
  <c r="N157" i="20"/>
  <c r="N155" i="20" s="1"/>
  <c r="M157" i="20"/>
  <c r="L157" i="20"/>
  <c r="P156" i="20"/>
  <c r="O156" i="20"/>
  <c r="N154" i="20"/>
  <c r="N152" i="20" s="1"/>
  <c r="M154" i="20"/>
  <c r="M152" i="20" s="1"/>
  <c r="L154" i="20"/>
  <c r="L152" i="20" s="1"/>
  <c r="P153" i="20"/>
  <c r="O153" i="20"/>
  <c r="O150" i="20"/>
  <c r="N150" i="20"/>
  <c r="M150" i="20"/>
  <c r="L150" i="20"/>
  <c r="J148" i="20"/>
  <c r="I146" i="20"/>
  <c r="I130" i="20" s="1"/>
  <c r="K130" i="20" s="1"/>
  <c r="I145" i="20"/>
  <c r="I144" i="20"/>
  <c r="K144" i="20" s="1"/>
  <c r="N140" i="20"/>
  <c r="M140" i="20"/>
  <c r="P140" i="20" s="1"/>
  <c r="L140" i="20"/>
  <c r="O140" i="20" s="1"/>
  <c r="P139" i="20"/>
  <c r="O139" i="20"/>
  <c r="N137" i="20"/>
  <c r="N135" i="20" s="1"/>
  <c r="M137" i="20"/>
  <c r="P137" i="20" s="1"/>
  <c r="L137" i="20"/>
  <c r="P136" i="20"/>
  <c r="O136" i="20"/>
  <c r="O133" i="20"/>
  <c r="N133" i="20"/>
  <c r="M133" i="20"/>
  <c r="L133" i="20"/>
  <c r="J130" i="20"/>
  <c r="N127" i="20"/>
  <c r="N125" i="20" s="1"/>
  <c r="M127" i="20"/>
  <c r="M125" i="20" s="1"/>
  <c r="P125" i="20" s="1"/>
  <c r="L127" i="20"/>
  <c r="P126" i="20"/>
  <c r="O126" i="20"/>
  <c r="N124" i="20"/>
  <c r="M124" i="20"/>
  <c r="M122" i="20" s="1"/>
  <c r="P122" i="20" s="1"/>
  <c r="L124" i="20"/>
  <c r="O124" i="20" s="1"/>
  <c r="P123" i="20"/>
  <c r="O123" i="20"/>
  <c r="O120" i="20"/>
  <c r="N120" i="20"/>
  <c r="M120" i="20"/>
  <c r="P120" i="20" s="1"/>
  <c r="L120" i="20"/>
  <c r="I116" i="20"/>
  <c r="K116" i="20" s="1"/>
  <c r="I115" i="20"/>
  <c r="I114" i="20"/>
  <c r="K114" i="20" s="1"/>
  <c r="I113" i="20"/>
  <c r="K113" i="20" s="1"/>
  <c r="J112" i="20"/>
  <c r="J111" i="20"/>
  <c r="I111" i="20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I99" i="20"/>
  <c r="K99" i="20" s="1"/>
  <c r="J98" i="20"/>
  <c r="J86" i="20" s="1"/>
  <c r="I98" i="20"/>
  <c r="I86" i="20" s="1"/>
  <c r="N96" i="20"/>
  <c r="N94" i="20" s="1"/>
  <c r="M96" i="20"/>
  <c r="P96" i="20" s="1"/>
  <c r="L96" i="20"/>
  <c r="L94" i="20" s="1"/>
  <c r="O94" i="20" s="1"/>
  <c r="P95" i="20"/>
  <c r="O95" i="20"/>
  <c r="N93" i="20"/>
  <c r="M93" i="20"/>
  <c r="M91" i="20" s="1"/>
  <c r="L93" i="20"/>
  <c r="P92" i="20"/>
  <c r="O92" i="20"/>
  <c r="N89" i="20"/>
  <c r="M89" i="20"/>
  <c r="L89" i="20"/>
  <c r="O89" i="20" s="1"/>
  <c r="J87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K79" i="20" s="1"/>
  <c r="I78" i="20"/>
  <c r="K78" i="20" s="1"/>
  <c r="J77" i="20"/>
  <c r="J76" i="20"/>
  <c r="N74" i="20"/>
  <c r="N72" i="20" s="1"/>
  <c r="M74" i="20"/>
  <c r="P74" i="20" s="1"/>
  <c r="L74" i="20"/>
  <c r="P73" i="20"/>
  <c r="O73" i="20"/>
  <c r="N71" i="20"/>
  <c r="M71" i="20"/>
  <c r="M69" i="20" s="1"/>
  <c r="L71" i="20"/>
  <c r="L69" i="20" s="1"/>
  <c r="P70" i="20"/>
  <c r="O70" i="20"/>
  <c r="O67" i="20"/>
  <c r="N67" i="20"/>
  <c r="M67" i="20"/>
  <c r="L67" i="20"/>
  <c r="J65" i="20"/>
  <c r="J64" i="20"/>
  <c r="N61" i="20"/>
  <c r="M61" i="20"/>
  <c r="P61" i="20" s="1"/>
  <c r="L61" i="20"/>
  <c r="L59" i="20" s="1"/>
  <c r="O59" i="20" s="1"/>
  <c r="P60" i="20"/>
  <c r="O60" i="20"/>
  <c r="N58" i="20"/>
  <c r="M58" i="20"/>
  <c r="M56" i="20" s="1"/>
  <c r="L58" i="20"/>
  <c r="P57" i="20"/>
  <c r="O57" i="20"/>
  <c r="O54" i="20"/>
  <c r="N54" i="20"/>
  <c r="M54" i="20"/>
  <c r="L54" i="20"/>
  <c r="N49" i="20"/>
  <c r="N47" i="20" s="1"/>
  <c r="M49" i="20"/>
  <c r="L49" i="20"/>
  <c r="O49" i="20" s="1"/>
  <c r="P48" i="20"/>
  <c r="O48" i="20"/>
  <c r="N46" i="20"/>
  <c r="M46" i="20"/>
  <c r="L46" i="20"/>
  <c r="L44" i="20" s="1"/>
  <c r="P45" i="20"/>
  <c r="O45" i="20"/>
  <c r="P42" i="20"/>
  <c r="N42" i="20"/>
  <c r="M42" i="20"/>
  <c r="L42" i="20"/>
  <c r="O42" i="20" s="1"/>
  <c r="N36" i="20"/>
  <c r="M36" i="20"/>
  <c r="P35" i="20"/>
  <c r="N35" i="20"/>
  <c r="N34" i="20" s="1"/>
  <c r="M35" i="20"/>
  <c r="L35" i="20"/>
  <c r="P33" i="20"/>
  <c r="N33" i="20"/>
  <c r="N30" i="20" s="1"/>
  <c r="M33" i="20"/>
  <c r="O32" i="20"/>
  <c r="N32" i="20"/>
  <c r="M32" i="20"/>
  <c r="M31" i="20" s="1"/>
  <c r="P31" i="20" s="1"/>
  <c r="L32" i="20"/>
  <c r="N31" i="20"/>
  <c r="N29" i="20"/>
  <c r="N28" i="20" s="1"/>
  <c r="L29" i="20"/>
  <c r="O25" i="20"/>
  <c r="N25" i="20"/>
  <c r="M25" i="20"/>
  <c r="L25" i="20"/>
  <c r="P22" i="20"/>
  <c r="N22" i="20"/>
  <c r="N19" i="20" s="1"/>
  <c r="M22" i="20"/>
  <c r="L22" i="20"/>
  <c r="M19" i="20"/>
  <c r="N15" i="20"/>
  <c r="L15" i="20"/>
  <c r="M12" i="20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P817" i="19"/>
  <c r="O817" i="19"/>
  <c r="P816" i="19"/>
  <c r="O816" i="19"/>
  <c r="O815" i="19"/>
  <c r="N815" i="19"/>
  <c r="M815" i="19"/>
  <c r="P815" i="19" s="1"/>
  <c r="L815" i="19"/>
  <c r="P810" i="19"/>
  <c r="O810" i="19"/>
  <c r="N810" i="19"/>
  <c r="P809" i="19"/>
  <c r="O809" i="19"/>
  <c r="O808" i="19"/>
  <c r="M808" i="19"/>
  <c r="P808" i="19" s="1"/>
  <c r="L808" i="19"/>
  <c r="M807" i="19"/>
  <c r="P807" i="19" s="1"/>
  <c r="L807" i="19"/>
  <c r="N806" i="19"/>
  <c r="M806" i="19"/>
  <c r="P806" i="19" s="1"/>
  <c r="L806" i="19"/>
  <c r="O806" i="19" s="1"/>
  <c r="P805" i="19"/>
  <c r="M805" i="19"/>
  <c r="K804" i="19"/>
  <c r="J804" i="19"/>
  <c r="K802" i="19"/>
  <c r="J801" i="19"/>
  <c r="J800" i="19"/>
  <c r="J785" i="19" s="1"/>
  <c r="I800" i="19"/>
  <c r="K800" i="19" s="1"/>
  <c r="P798" i="19"/>
  <c r="O798" i="19"/>
  <c r="P797" i="19"/>
  <c r="O797" i="19"/>
  <c r="P796" i="19"/>
  <c r="O796" i="19"/>
  <c r="N796" i="19"/>
  <c r="M796" i="19"/>
  <c r="L796" i="19"/>
  <c r="P791" i="19"/>
  <c r="N791" i="19"/>
  <c r="L791" i="19"/>
  <c r="L788" i="19" s="1"/>
  <c r="P790" i="19"/>
  <c r="O790" i="19"/>
  <c r="N789" i="19"/>
  <c r="M789" i="19"/>
  <c r="P789" i="19" s="1"/>
  <c r="N788" i="19"/>
  <c r="M788" i="19"/>
  <c r="P788" i="19" s="1"/>
  <c r="N787" i="19"/>
  <c r="N786" i="19" s="1"/>
  <c r="M787" i="19"/>
  <c r="P787" i="19" s="1"/>
  <c r="L787" i="19"/>
  <c r="O787" i="19" s="1"/>
  <c r="P786" i="19"/>
  <c r="M786" i="19"/>
  <c r="I785" i="19"/>
  <c r="K785" i="19" s="1"/>
  <c r="P782" i="19"/>
  <c r="O782" i="19"/>
  <c r="P781" i="19"/>
  <c r="O781" i="19"/>
  <c r="P780" i="19"/>
  <c r="N780" i="19"/>
  <c r="M780" i="19"/>
  <c r="L780" i="19"/>
  <c r="O780" i="19" s="1"/>
  <c r="P775" i="19"/>
  <c r="O775" i="19"/>
  <c r="N775" i="19"/>
  <c r="N772" i="19" s="1"/>
  <c r="N770" i="19" s="1"/>
  <c r="P774" i="19"/>
  <c r="O774" i="19"/>
  <c r="P773" i="19"/>
  <c r="O773" i="19"/>
  <c r="N773" i="19"/>
  <c r="M773" i="19"/>
  <c r="L773" i="19"/>
  <c r="O772" i="19"/>
  <c r="M772" i="19"/>
  <c r="L772" i="19"/>
  <c r="N771" i="19"/>
  <c r="M771" i="19"/>
  <c r="P771" i="19" s="1"/>
  <c r="L771" i="19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N756" i="19" s="1"/>
  <c r="N754" i="19" s="1"/>
  <c r="P758" i="19"/>
  <c r="O758" i="19"/>
  <c r="P757" i="19"/>
  <c r="O757" i="19"/>
  <c r="N757" i="19"/>
  <c r="M757" i="19"/>
  <c r="L757" i="19"/>
  <c r="O756" i="19"/>
  <c r="M756" i="19"/>
  <c r="L756" i="19"/>
  <c r="N755" i="19"/>
  <c r="M755" i="19"/>
  <c r="P755" i="19" s="1"/>
  <c r="L755" i="19"/>
  <c r="K753" i="19"/>
  <c r="J753" i="19"/>
  <c r="P749" i="19"/>
  <c r="O749" i="19"/>
  <c r="P748" i="19"/>
  <c r="O748" i="19"/>
  <c r="P747" i="19"/>
  <c r="N747" i="19"/>
  <c r="M747" i="19"/>
  <c r="L747" i="19"/>
  <c r="O747" i="19" s="1"/>
  <c r="P742" i="19"/>
  <c r="O742" i="19"/>
  <c r="N742" i="19"/>
  <c r="N739" i="19" s="1"/>
  <c r="N737" i="19" s="1"/>
  <c r="P741" i="19"/>
  <c r="O741" i="19"/>
  <c r="P740" i="19"/>
  <c r="N740" i="19"/>
  <c r="M740" i="19"/>
  <c r="L740" i="19"/>
  <c r="O740" i="19" s="1"/>
  <c r="O739" i="19"/>
  <c r="M739" i="19"/>
  <c r="L739" i="19"/>
  <c r="N738" i="19"/>
  <c r="M738" i="19"/>
  <c r="P738" i="19" s="1"/>
  <c r="L738" i="19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K708" i="19" s="1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P695" i="19"/>
  <c r="O695" i="19"/>
  <c r="N695" i="19"/>
  <c r="M695" i="19"/>
  <c r="L695" i="19"/>
  <c r="P690" i="19"/>
  <c r="N690" i="19"/>
  <c r="N687" i="19" s="1"/>
  <c r="N685" i="19" s="1"/>
  <c r="L690" i="19"/>
  <c r="L688" i="19" s="1"/>
  <c r="M688" i="19"/>
  <c r="P688" i="19" s="1"/>
  <c r="M687" i="19"/>
  <c r="P687" i="19" s="1"/>
  <c r="P686" i="19"/>
  <c r="N686" i="19"/>
  <c r="M686" i="19"/>
  <c r="L686" i="19"/>
  <c r="O686" i="19" s="1"/>
  <c r="P685" i="19"/>
  <c r="M685" i="19"/>
  <c r="J679" i="19"/>
  <c r="J678" i="19"/>
  <c r="I678" i="19"/>
  <c r="K678" i="19" s="1"/>
  <c r="J675" i="19"/>
  <c r="I671" i="19"/>
  <c r="K671" i="19" s="1"/>
  <c r="I670" i="19"/>
  <c r="K670" i="19" s="1"/>
  <c r="J669" i="19"/>
  <c r="I669" i="19"/>
  <c r="K672" i="19" s="1"/>
  <c r="P667" i="19"/>
  <c r="O667" i="19"/>
  <c r="P666" i="19"/>
  <c r="O666" i="19"/>
  <c r="N665" i="19"/>
  <c r="M665" i="19"/>
  <c r="P665" i="19" s="1"/>
  <c r="L665" i="19"/>
  <c r="O665" i="19" s="1"/>
  <c r="P660" i="19"/>
  <c r="N660" i="19"/>
  <c r="L660" i="19"/>
  <c r="L658" i="19" s="1"/>
  <c r="O658" i="19" s="1"/>
  <c r="P659" i="19"/>
  <c r="O659" i="19"/>
  <c r="P658" i="19"/>
  <c r="N658" i="19"/>
  <c r="M658" i="19"/>
  <c r="N657" i="19"/>
  <c r="M657" i="19"/>
  <c r="P657" i="19" s="1"/>
  <c r="N656" i="19"/>
  <c r="N655" i="19" s="1"/>
  <c r="M656" i="19"/>
  <c r="P656" i="19" s="1"/>
  <c r="L656" i="19"/>
  <c r="O656" i="19" s="1"/>
  <c r="M655" i="19"/>
  <c r="P655" i="19" s="1"/>
  <c r="J654" i="19"/>
  <c r="K652" i="19"/>
  <c r="J652" i="19"/>
  <c r="J651" i="19"/>
  <c r="J628" i="19" s="1"/>
  <c r="I651" i="19"/>
  <c r="I628" i="19" s="1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N639" i="19"/>
  <c r="M639" i="19"/>
  <c r="P639" i="19" s="1"/>
  <c r="P634" i="19"/>
  <c r="N634" i="19"/>
  <c r="N631" i="19" s="1"/>
  <c r="N629" i="19" s="1"/>
  <c r="L634" i="19"/>
  <c r="O634" i="19" s="1"/>
  <c r="P633" i="19"/>
  <c r="O633" i="19"/>
  <c r="N632" i="19"/>
  <c r="M632" i="19"/>
  <c r="P632" i="19" s="1"/>
  <c r="M631" i="19"/>
  <c r="P631" i="19" s="1"/>
  <c r="P630" i="19"/>
  <c r="N630" i="19"/>
  <c r="M630" i="19"/>
  <c r="L630" i="19"/>
  <c r="O630" i="19" s="1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5" i="19"/>
  <c r="J594" i="19"/>
  <c r="I594" i="19"/>
  <c r="K594" i="19" s="1"/>
  <c r="J593" i="19"/>
  <c r="I593" i="19"/>
  <c r="K593" i="19" s="1"/>
  <c r="J592" i="19"/>
  <c r="J583" i="19"/>
  <c r="J582" i="19"/>
  <c r="J576" i="19" s="1"/>
  <c r="J559" i="19" s="1"/>
  <c r="J543" i="19" s="1"/>
  <c r="J577" i="19"/>
  <c r="I577" i="19"/>
  <c r="K577" i="19" s="1"/>
  <c r="I576" i="19"/>
  <c r="I559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O557" i="19" s="1"/>
  <c r="P556" i="19"/>
  <c r="O556" i="19"/>
  <c r="P555" i="19"/>
  <c r="N555" i="19"/>
  <c r="M555" i="19"/>
  <c r="L555" i="19"/>
  <c r="O555" i="19" s="1"/>
  <c r="P549" i="19"/>
  <c r="N549" i="19"/>
  <c r="L549" i="19"/>
  <c r="P548" i="19"/>
  <c r="O548" i="19"/>
  <c r="N547" i="19"/>
  <c r="M547" i="19"/>
  <c r="P547" i="19" s="1"/>
  <c r="N546" i="19"/>
  <c r="N544" i="19" s="1"/>
  <c r="M546" i="19"/>
  <c r="P546" i="19" s="1"/>
  <c r="N545" i="19"/>
  <c r="M545" i="19"/>
  <c r="L545" i="19"/>
  <c r="O545" i="19" s="1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P535" i="19"/>
  <c r="L535" i="19"/>
  <c r="L533" i="19" s="1"/>
  <c r="O533" i="19" s="1"/>
  <c r="P534" i="19"/>
  <c r="O534" i="19"/>
  <c r="N533" i="19"/>
  <c r="M533" i="19"/>
  <c r="P533" i="19" s="1"/>
  <c r="P528" i="19"/>
  <c r="N528" i="19"/>
  <c r="L528" i="19"/>
  <c r="P527" i="19"/>
  <c r="O527" i="19"/>
  <c r="N526" i="19"/>
  <c r="M526" i="19"/>
  <c r="P526" i="19" s="1"/>
  <c r="N525" i="19"/>
  <c r="M525" i="19"/>
  <c r="P525" i="19" s="1"/>
  <c r="N524" i="19"/>
  <c r="N523" i="19" s="1"/>
  <c r="M524" i="19"/>
  <c r="P524" i="19" s="1"/>
  <c r="L524" i="19"/>
  <c r="O524" i="19" s="1"/>
  <c r="P523" i="19"/>
  <c r="M523" i="19"/>
  <c r="K517" i="19"/>
  <c r="J517" i="19"/>
  <c r="K516" i="19"/>
  <c r="P514" i="19"/>
  <c r="O514" i="19"/>
  <c r="P513" i="19"/>
  <c r="O513" i="19"/>
  <c r="O512" i="19"/>
  <c r="N512" i="19"/>
  <c r="M512" i="19"/>
  <c r="P512" i="19" s="1"/>
  <c r="L512" i="19"/>
  <c r="P507" i="19"/>
  <c r="O507" i="19"/>
  <c r="N507" i="19"/>
  <c r="N504" i="19" s="1"/>
  <c r="N502" i="19" s="1"/>
  <c r="P506" i="19"/>
  <c r="O506" i="19"/>
  <c r="O505" i="19"/>
  <c r="N505" i="19"/>
  <c r="M505" i="19"/>
  <c r="P505" i="19" s="1"/>
  <c r="L505" i="19"/>
  <c r="P504" i="19"/>
  <c r="M504" i="19"/>
  <c r="M502" i="19" s="1"/>
  <c r="P502" i="19" s="1"/>
  <c r="L504" i="19"/>
  <c r="O504" i="19" s="1"/>
  <c r="O503" i="19"/>
  <c r="N503" i="19"/>
  <c r="M503" i="19"/>
  <c r="P503" i="19" s="1"/>
  <c r="L503" i="19"/>
  <c r="L502" i="19" s="1"/>
  <c r="O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P478" i="19"/>
  <c r="O478" i="19"/>
  <c r="N477" i="19"/>
  <c r="M477" i="19"/>
  <c r="P477" i="19" s="1"/>
  <c r="P472" i="19"/>
  <c r="N472" i="19"/>
  <c r="N469" i="19" s="1"/>
  <c r="N467" i="19" s="1"/>
  <c r="L472" i="19"/>
  <c r="O472" i="19" s="1"/>
  <c r="P471" i="19"/>
  <c r="O471" i="19"/>
  <c r="N470" i="19"/>
  <c r="M470" i="19"/>
  <c r="P470" i="19" s="1"/>
  <c r="P469" i="19"/>
  <c r="M469" i="19"/>
  <c r="O468" i="19"/>
  <c r="N468" i="19"/>
  <c r="M468" i="19"/>
  <c r="P468" i="19" s="1"/>
  <c r="L468" i="19"/>
  <c r="M467" i="19"/>
  <c r="P467" i="19" s="1"/>
  <c r="J466" i="19"/>
  <c r="I466" i="19"/>
  <c r="K466" i="19" s="1"/>
  <c r="J465" i="19"/>
  <c r="I465" i="19"/>
  <c r="K465" i="19" s="1"/>
  <c r="I464" i="19"/>
  <c r="I463" i="19"/>
  <c r="I462" i="19"/>
  <c r="K462" i="19" s="1"/>
  <c r="I460" i="19"/>
  <c r="K460" i="19" s="1"/>
  <c r="K458" i="19"/>
  <c r="P456" i="19"/>
  <c r="L456" i="19"/>
  <c r="P455" i="19"/>
  <c r="O455" i="19"/>
  <c r="N454" i="19"/>
  <c r="M454" i="19"/>
  <c r="P454" i="19" s="1"/>
  <c r="P449" i="19"/>
  <c r="N449" i="19"/>
  <c r="L449" i="19"/>
  <c r="O449" i="19" s="1"/>
  <c r="P448" i="19"/>
  <c r="O448" i="19"/>
  <c r="P447" i="19"/>
  <c r="N447" i="19"/>
  <c r="M447" i="19"/>
  <c r="N446" i="19"/>
  <c r="M446" i="19"/>
  <c r="P446" i="19" s="1"/>
  <c r="P445" i="19"/>
  <c r="N445" i="19"/>
  <c r="M445" i="19"/>
  <c r="M444" i="19" s="1"/>
  <c r="P444" i="19" s="1"/>
  <c r="L445" i="19"/>
  <c r="O445" i="19" s="1"/>
  <c r="N444" i="19"/>
  <c r="J443" i="19"/>
  <c r="J442" i="19"/>
  <c r="I441" i="19"/>
  <c r="K441" i="19" s="1"/>
  <c r="I440" i="19"/>
  <c r="K440" i="19" s="1"/>
  <c r="I439" i="19"/>
  <c r="K439" i="19" s="1"/>
  <c r="I438" i="19"/>
  <c r="K438" i="19" s="1"/>
  <c r="I437" i="19"/>
  <c r="K437" i="19" s="1"/>
  <c r="I435" i="19"/>
  <c r="K435" i="19" s="1"/>
  <c r="J434" i="19"/>
  <c r="P431" i="19"/>
  <c r="L431" i="19"/>
  <c r="P430" i="19"/>
  <c r="O430" i="19"/>
  <c r="N429" i="19"/>
  <c r="M429" i="19"/>
  <c r="P429" i="19" s="1"/>
  <c r="P424" i="19"/>
  <c r="N424" i="19"/>
  <c r="N421" i="19" s="1"/>
  <c r="N419" i="19" s="1"/>
  <c r="L424" i="19"/>
  <c r="O424" i="19" s="1"/>
  <c r="P423" i="19"/>
  <c r="O423" i="19"/>
  <c r="N422" i="19"/>
  <c r="M422" i="19"/>
  <c r="P422" i="19" s="1"/>
  <c r="M421" i="19"/>
  <c r="P421" i="19" s="1"/>
  <c r="P420" i="19"/>
  <c r="N420" i="19"/>
  <c r="M420" i="19"/>
  <c r="L420" i="19"/>
  <c r="O420" i="19" s="1"/>
  <c r="J418" i="19"/>
  <c r="K413" i="19"/>
  <c r="K412" i="19"/>
  <c r="N410" i="19"/>
  <c r="N408" i="19" s="1"/>
  <c r="M410" i="19"/>
  <c r="P410" i="19" s="1"/>
  <c r="L410" i="19"/>
  <c r="P409" i="19"/>
  <c r="O409" i="19"/>
  <c r="N407" i="19"/>
  <c r="N405" i="19" s="1"/>
  <c r="M407" i="19"/>
  <c r="P407" i="19" s="1"/>
  <c r="L407" i="19"/>
  <c r="O407" i="19" s="1"/>
  <c r="P406" i="19"/>
  <c r="O406" i="19"/>
  <c r="N403" i="19"/>
  <c r="M403" i="19"/>
  <c r="P403" i="19" s="1"/>
  <c r="L403" i="19"/>
  <c r="O403" i="19" s="1"/>
  <c r="J401" i="19"/>
  <c r="I401" i="19"/>
  <c r="K401" i="19" s="1"/>
  <c r="K400" i="19"/>
  <c r="K399" i="19"/>
  <c r="N397" i="19"/>
  <c r="N395" i="19" s="1"/>
  <c r="M397" i="19"/>
  <c r="P397" i="19" s="1"/>
  <c r="L397" i="19"/>
  <c r="O397" i="19" s="1"/>
  <c r="P396" i="19"/>
  <c r="O396" i="19"/>
  <c r="N394" i="19"/>
  <c r="M394" i="19"/>
  <c r="P394" i="19" s="1"/>
  <c r="L394" i="19"/>
  <c r="O394" i="19" s="1"/>
  <c r="P393" i="19"/>
  <c r="O393" i="19"/>
  <c r="P390" i="19"/>
  <c r="N390" i="19"/>
  <c r="M390" i="19"/>
  <c r="L390" i="19"/>
  <c r="O390" i="19" s="1"/>
  <c r="J388" i="19"/>
  <c r="I388" i="19"/>
  <c r="K388" i="19" s="1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L351" i="19" s="1"/>
  <c r="P352" i="19"/>
  <c r="O352" i="19"/>
  <c r="N350" i="19"/>
  <c r="N348" i="19" s="1"/>
  <c r="M350" i="19"/>
  <c r="L350" i="19"/>
  <c r="P349" i="19"/>
  <c r="O349" i="19"/>
  <c r="P346" i="19"/>
  <c r="N346" i="19"/>
  <c r="M346" i="19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P336" i="19" s="1"/>
  <c r="L336" i="19"/>
  <c r="O336" i="19" s="1"/>
  <c r="P335" i="19"/>
  <c r="O335" i="19"/>
  <c r="N333" i="19"/>
  <c r="M333" i="19"/>
  <c r="L333" i="19"/>
  <c r="P332" i="19"/>
  <c r="O332" i="19"/>
  <c r="P329" i="19"/>
  <c r="N329" i="19"/>
  <c r="M329" i="19"/>
  <c r="L329" i="19"/>
  <c r="O329" i="19" s="1"/>
  <c r="I327" i="19"/>
  <c r="I325" i="19"/>
  <c r="I314" i="19" s="1"/>
  <c r="K314" i="19" s="1"/>
  <c r="N323" i="19"/>
  <c r="N321" i="19" s="1"/>
  <c r="M323" i="19"/>
  <c r="L323" i="19"/>
  <c r="O323" i="19" s="1"/>
  <c r="P322" i="19"/>
  <c r="O322" i="19"/>
  <c r="N320" i="19"/>
  <c r="N318" i="19" s="1"/>
  <c r="M320" i="19"/>
  <c r="L320" i="19"/>
  <c r="O320" i="19" s="1"/>
  <c r="P319" i="19"/>
  <c r="O319" i="19"/>
  <c r="N316" i="19"/>
  <c r="M316" i="19"/>
  <c r="P316" i="19" s="1"/>
  <c r="L316" i="19"/>
  <c r="J314" i="19"/>
  <c r="I312" i="19"/>
  <c r="K312" i="19" s="1"/>
  <c r="I311" i="19"/>
  <c r="K311" i="19" s="1"/>
  <c r="I310" i="19"/>
  <c r="K310" i="19" s="1"/>
  <c r="I309" i="19"/>
  <c r="N306" i="19"/>
  <c r="N304" i="19" s="1"/>
  <c r="M306" i="19"/>
  <c r="L306" i="19"/>
  <c r="L304" i="19" s="1"/>
  <c r="O304" i="19" s="1"/>
  <c r="P305" i="19"/>
  <c r="O305" i="19"/>
  <c r="N303" i="19"/>
  <c r="N301" i="19" s="1"/>
  <c r="M303" i="19"/>
  <c r="P303" i="19" s="1"/>
  <c r="L303" i="19"/>
  <c r="L301" i="19" s="1"/>
  <c r="O301" i="19" s="1"/>
  <c r="P302" i="19"/>
  <c r="O302" i="19"/>
  <c r="O299" i="19"/>
  <c r="N299" i="19"/>
  <c r="M299" i="19"/>
  <c r="P299" i="19" s="1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K287" i="19" s="1"/>
  <c r="N285" i="19"/>
  <c r="N283" i="19" s="1"/>
  <c r="M285" i="19"/>
  <c r="M283" i="19" s="1"/>
  <c r="P283" i="19" s="1"/>
  <c r="L285" i="19"/>
  <c r="O285" i="19" s="1"/>
  <c r="P284" i="19"/>
  <c r="O284" i="19"/>
  <c r="N282" i="19"/>
  <c r="M282" i="19"/>
  <c r="L282" i="19"/>
  <c r="O282" i="19" s="1"/>
  <c r="P281" i="19"/>
  <c r="O281" i="19"/>
  <c r="O278" i="19"/>
  <c r="N278" i="19"/>
  <c r="M278" i="19"/>
  <c r="L278" i="19"/>
  <c r="J276" i="19"/>
  <c r="I271" i="19"/>
  <c r="I260" i="19" s="1"/>
  <c r="K260" i="19" s="1"/>
  <c r="N269" i="19"/>
  <c r="N267" i="19" s="1"/>
  <c r="M269" i="19"/>
  <c r="P269" i="19" s="1"/>
  <c r="L269" i="19"/>
  <c r="L267" i="19" s="1"/>
  <c r="O267" i="19" s="1"/>
  <c r="P268" i="19"/>
  <c r="O268" i="19"/>
  <c r="N266" i="19"/>
  <c r="N264" i="19" s="1"/>
  <c r="M266" i="19"/>
  <c r="L266" i="19"/>
  <c r="L264" i="19" s="1"/>
  <c r="P265" i="19"/>
  <c r="O265" i="19"/>
  <c r="O262" i="19"/>
  <c r="N262" i="19"/>
  <c r="M262" i="19"/>
  <c r="P262" i="19" s="1"/>
  <c r="L262" i="19"/>
  <c r="J260" i="19"/>
  <c r="K258" i="19"/>
  <c r="K257" i="19"/>
  <c r="I255" i="19"/>
  <c r="I248" i="19" s="1"/>
  <c r="K248" i="19" s="1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N227" i="19" s="1"/>
  <c r="J237" i="19"/>
  <c r="J226" i="19" s="1"/>
  <c r="J180" i="19" s="1"/>
  <c r="K236" i="19"/>
  <c r="J236" i="19"/>
  <c r="I236" i="19"/>
  <c r="J235" i="19"/>
  <c r="I235" i="19"/>
  <c r="K235" i="19" s="1"/>
  <c r="J233" i="19"/>
  <c r="N231" i="19"/>
  <c r="N230" i="19"/>
  <c r="N229" i="19"/>
  <c r="N228" i="19"/>
  <c r="I225" i="19"/>
  <c r="K225" i="19" s="1"/>
  <c r="I224" i="19"/>
  <c r="I223" i="19"/>
  <c r="K223" i="19" s="1"/>
  <c r="L220" i="19"/>
  <c r="L219" i="19"/>
  <c r="L218" i="19"/>
  <c r="P217" i="19"/>
  <c r="N217" i="19"/>
  <c r="J216" i="19"/>
  <c r="I215" i="19"/>
  <c r="I208" i="19" s="1"/>
  <c r="K208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K204" i="19" s="1"/>
  <c r="L202" i="19"/>
  <c r="L201" i="19"/>
  <c r="L200" i="19"/>
  <c r="L199" i="19"/>
  <c r="P198" i="19"/>
  <c r="N198" i="19"/>
  <c r="J197" i="19"/>
  <c r="J194" i="19"/>
  <c r="I193" i="19"/>
  <c r="I190" i="19" s="1"/>
  <c r="K190" i="19" s="1"/>
  <c r="P191" i="19"/>
  <c r="L191" i="19"/>
  <c r="O191" i="19" s="1"/>
  <c r="J190" i="19"/>
  <c r="N189" i="19"/>
  <c r="N187" i="19" s="1"/>
  <c r="M189" i="19"/>
  <c r="M187" i="19" s="1"/>
  <c r="P187" i="19" s="1"/>
  <c r="L189" i="19"/>
  <c r="O189" i="19" s="1"/>
  <c r="P188" i="19"/>
  <c r="O188" i="19"/>
  <c r="N186" i="19"/>
  <c r="N184" i="19" s="1"/>
  <c r="M186" i="19"/>
  <c r="M184" i="19" s="1"/>
  <c r="L186" i="19"/>
  <c r="P185" i="19"/>
  <c r="O185" i="19"/>
  <c r="O182" i="19"/>
  <c r="N182" i="19"/>
  <c r="M182" i="19"/>
  <c r="L182" i="19"/>
  <c r="K180" i="19"/>
  <c r="J177" i="19"/>
  <c r="I176" i="19"/>
  <c r="K176" i="19" s="1"/>
  <c r="J174" i="19"/>
  <c r="N173" i="19"/>
  <c r="N171" i="19" s="1"/>
  <c r="M173" i="19"/>
  <c r="M171" i="19" s="1"/>
  <c r="P171" i="19" s="1"/>
  <c r="L173" i="19"/>
  <c r="L171" i="19" s="1"/>
  <c r="O171" i="19" s="1"/>
  <c r="P172" i="19"/>
  <c r="O172" i="19"/>
  <c r="N170" i="19"/>
  <c r="M170" i="19"/>
  <c r="M168" i="19" s="1"/>
  <c r="L170" i="19"/>
  <c r="L168" i="19" s="1"/>
  <c r="P169" i="19"/>
  <c r="O169" i="19"/>
  <c r="P166" i="19"/>
  <c r="N166" i="19"/>
  <c r="M166" i="19"/>
  <c r="L166" i="19"/>
  <c r="J164" i="19"/>
  <c r="I159" i="19"/>
  <c r="K159" i="19" s="1"/>
  <c r="N157" i="19"/>
  <c r="N155" i="19" s="1"/>
  <c r="M157" i="19"/>
  <c r="P157" i="19" s="1"/>
  <c r="L157" i="19"/>
  <c r="O157" i="19" s="1"/>
  <c r="P156" i="19"/>
  <c r="O156" i="19"/>
  <c r="N154" i="19"/>
  <c r="N152" i="19" s="1"/>
  <c r="M154" i="19"/>
  <c r="P154" i="19" s="1"/>
  <c r="L154" i="19"/>
  <c r="O154" i="19" s="1"/>
  <c r="P153" i="19"/>
  <c r="O153" i="19"/>
  <c r="P150" i="19"/>
  <c r="N150" i="19"/>
  <c r="M150" i="19"/>
  <c r="L150" i="19"/>
  <c r="O150" i="19" s="1"/>
  <c r="J148" i="19"/>
  <c r="I146" i="19"/>
  <c r="K146" i="19" s="1"/>
  <c r="I145" i="19"/>
  <c r="K145" i="19" s="1"/>
  <c r="I144" i="19"/>
  <c r="N140" i="19"/>
  <c r="N138" i="19" s="1"/>
  <c r="M140" i="19"/>
  <c r="P140" i="19" s="1"/>
  <c r="L140" i="19"/>
  <c r="L138" i="19" s="1"/>
  <c r="O138" i="19" s="1"/>
  <c r="P139" i="19"/>
  <c r="O139" i="19"/>
  <c r="N137" i="19"/>
  <c r="N135" i="19" s="1"/>
  <c r="M137" i="19"/>
  <c r="L137" i="19"/>
  <c r="L135" i="19" s="1"/>
  <c r="O135" i="19" s="1"/>
  <c r="P136" i="19"/>
  <c r="O136" i="19"/>
  <c r="O133" i="19"/>
  <c r="N133" i="19"/>
  <c r="M133" i="19"/>
  <c r="L133" i="19"/>
  <c r="J130" i="19"/>
  <c r="N127" i="19"/>
  <c r="N125" i="19" s="1"/>
  <c r="M127" i="19"/>
  <c r="P127" i="19" s="1"/>
  <c r="L127" i="19"/>
  <c r="P126" i="19"/>
  <c r="O126" i="19"/>
  <c r="N124" i="19"/>
  <c r="N122" i="19" s="1"/>
  <c r="M124" i="19"/>
  <c r="P124" i="19" s="1"/>
  <c r="L124" i="19"/>
  <c r="P123" i="19"/>
  <c r="O123" i="19"/>
  <c r="P120" i="19"/>
  <c r="N120" i="19"/>
  <c r="M120" i="19"/>
  <c r="L120" i="19"/>
  <c r="O120" i="19" s="1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J87" i="19" s="1"/>
  <c r="I99" i="19"/>
  <c r="I87" i="19" s="1"/>
  <c r="J98" i="19"/>
  <c r="I98" i="19"/>
  <c r="I86" i="19" s="1"/>
  <c r="K86" i="19" s="1"/>
  <c r="N96" i="19"/>
  <c r="N94" i="19" s="1"/>
  <c r="M96" i="19"/>
  <c r="P96" i="19" s="1"/>
  <c r="L96" i="19"/>
  <c r="P95" i="19"/>
  <c r="O95" i="19"/>
  <c r="N93" i="19"/>
  <c r="N91" i="19" s="1"/>
  <c r="M93" i="19"/>
  <c r="L93" i="19"/>
  <c r="L91" i="19" s="1"/>
  <c r="P92" i="19"/>
  <c r="O92" i="19"/>
  <c r="P89" i="19"/>
  <c r="N89" i="19"/>
  <c r="M89" i="19"/>
  <c r="L89" i="19"/>
  <c r="J86" i="19"/>
  <c r="I84" i="19"/>
  <c r="K84" i="19" s="1"/>
  <c r="I83" i="19"/>
  <c r="K83" i="19" s="1"/>
  <c r="I82" i="19"/>
  <c r="K82" i="19" s="1"/>
  <c r="I81" i="19"/>
  <c r="K81" i="19" s="1"/>
  <c r="I80" i="19"/>
  <c r="I79" i="19"/>
  <c r="I78" i="19"/>
  <c r="K78" i="19" s="1"/>
  <c r="J77" i="19"/>
  <c r="J76" i="19"/>
  <c r="J64" i="19" s="1"/>
  <c r="N74" i="19"/>
  <c r="N72" i="19" s="1"/>
  <c r="M74" i="19"/>
  <c r="P74" i="19" s="1"/>
  <c r="L74" i="19"/>
  <c r="O74" i="19" s="1"/>
  <c r="P73" i="19"/>
  <c r="O73" i="19"/>
  <c r="N71" i="19"/>
  <c r="M71" i="19"/>
  <c r="M69" i="19" s="1"/>
  <c r="L71" i="19"/>
  <c r="P70" i="19"/>
  <c r="O70" i="19"/>
  <c r="O67" i="19"/>
  <c r="N67" i="19"/>
  <c r="M67" i="19"/>
  <c r="L67" i="19"/>
  <c r="J65" i="19"/>
  <c r="N61" i="19"/>
  <c r="N59" i="19" s="1"/>
  <c r="M61" i="19"/>
  <c r="P61" i="19" s="1"/>
  <c r="L61" i="19"/>
  <c r="P60" i="19"/>
  <c r="O60" i="19"/>
  <c r="N58" i="19"/>
  <c r="M58" i="19"/>
  <c r="L58" i="19"/>
  <c r="L56" i="19" s="1"/>
  <c r="P57" i="19"/>
  <c r="O57" i="19"/>
  <c r="P54" i="19"/>
  <c r="N54" i="19"/>
  <c r="M54" i="19"/>
  <c r="L54" i="19"/>
  <c r="O54" i="19" s="1"/>
  <c r="N49" i="19"/>
  <c r="M49" i="19"/>
  <c r="P49" i="19" s="1"/>
  <c r="L49" i="19"/>
  <c r="L47" i="19" s="1"/>
  <c r="O47" i="19" s="1"/>
  <c r="P48" i="19"/>
  <c r="O48" i="19"/>
  <c r="N46" i="19"/>
  <c r="M46" i="19"/>
  <c r="M44" i="19" s="1"/>
  <c r="L46" i="19"/>
  <c r="L44" i="19" s="1"/>
  <c r="P45" i="19"/>
  <c r="O45" i="19"/>
  <c r="N42" i="19"/>
  <c r="M42" i="19"/>
  <c r="L42" i="19"/>
  <c r="O42" i="19" s="1"/>
  <c r="P36" i="19"/>
  <c r="N36" i="19"/>
  <c r="M36" i="19"/>
  <c r="O35" i="19"/>
  <c r="N35" i="19"/>
  <c r="M35" i="19"/>
  <c r="P35" i="19" s="1"/>
  <c r="L35" i="19"/>
  <c r="N34" i="19"/>
  <c r="M34" i="19"/>
  <c r="P34" i="19" s="1"/>
  <c r="N33" i="19"/>
  <c r="M33" i="19"/>
  <c r="P32" i="19"/>
  <c r="N32" i="19"/>
  <c r="M32" i="19"/>
  <c r="L32" i="19"/>
  <c r="L12" i="19" s="1"/>
  <c r="N31" i="19"/>
  <c r="N30" i="19"/>
  <c r="N29" i="19"/>
  <c r="M29" i="19"/>
  <c r="P29" i="19" s="1"/>
  <c r="N28" i="19"/>
  <c r="N25" i="19"/>
  <c r="M25" i="19"/>
  <c r="P25" i="19" s="1"/>
  <c r="L25" i="19"/>
  <c r="L19" i="19" s="1"/>
  <c r="O22" i="19"/>
  <c r="N22" i="19"/>
  <c r="M22" i="19"/>
  <c r="P22" i="19" s="1"/>
  <c r="L22" i="19"/>
  <c r="N19" i="19"/>
  <c r="N15" i="19"/>
  <c r="M15" i="19"/>
  <c r="P15" i="19" s="1"/>
  <c r="P12" i="19"/>
  <c r="N12" i="19"/>
  <c r="M12" i="19"/>
  <c r="N9" i="19"/>
  <c r="M9" i="19"/>
  <c r="P9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P809" i="18"/>
  <c r="O809" i="18"/>
  <c r="O808" i="18"/>
  <c r="M808" i="18"/>
  <c r="P808" i="18" s="1"/>
  <c r="L808" i="18"/>
  <c r="M807" i="18"/>
  <c r="P807" i="18" s="1"/>
  <c r="L807" i="18"/>
  <c r="N806" i="18"/>
  <c r="M806" i="18"/>
  <c r="P806" i="18" s="1"/>
  <c r="L806" i="18"/>
  <c r="O806" i="18" s="1"/>
  <c r="P805" i="18"/>
  <c r="M805" i="18"/>
  <c r="K804" i="18"/>
  <c r="J804" i="18"/>
  <c r="K802" i="18"/>
  <c r="J801" i="18"/>
  <c r="J800" i="18"/>
  <c r="J785" i="18" s="1"/>
  <c r="I800" i="18"/>
  <c r="P798" i="18"/>
  <c r="O798" i="18"/>
  <c r="P797" i="18"/>
  <c r="O797" i="18"/>
  <c r="P796" i="18"/>
  <c r="O796" i="18"/>
  <c r="N796" i="18"/>
  <c r="M796" i="18"/>
  <c r="L796" i="18"/>
  <c r="P791" i="18"/>
  <c r="N791" i="18"/>
  <c r="L791" i="18"/>
  <c r="L788" i="18" s="1"/>
  <c r="P790" i="18"/>
  <c r="O790" i="18"/>
  <c r="N789" i="18"/>
  <c r="M789" i="18"/>
  <c r="P789" i="18" s="1"/>
  <c r="N788" i="18"/>
  <c r="M788" i="18"/>
  <c r="P788" i="18" s="1"/>
  <c r="N787" i="18"/>
  <c r="N786" i="18" s="1"/>
  <c r="M787" i="18"/>
  <c r="P787" i="18" s="1"/>
  <c r="L787" i="18"/>
  <c r="O787" i="18" s="1"/>
  <c r="P786" i="18"/>
  <c r="M786" i="18"/>
  <c r="P782" i="18"/>
  <c r="O782" i="18"/>
  <c r="P781" i="18"/>
  <c r="O781" i="18"/>
  <c r="P780" i="18"/>
  <c r="N780" i="18"/>
  <c r="M780" i="18"/>
  <c r="L780" i="18"/>
  <c r="O780" i="18" s="1"/>
  <c r="P775" i="18"/>
  <c r="O775" i="18"/>
  <c r="N775" i="18"/>
  <c r="N772" i="18" s="1"/>
  <c r="N770" i="18" s="1"/>
  <c r="P774" i="18"/>
  <c r="O774" i="18"/>
  <c r="P773" i="18"/>
  <c r="O773" i="18"/>
  <c r="N773" i="18"/>
  <c r="M773" i="18"/>
  <c r="L773" i="18"/>
  <c r="O772" i="18"/>
  <c r="M772" i="18"/>
  <c r="L772" i="18"/>
  <c r="N771" i="18"/>
  <c r="M771" i="18"/>
  <c r="P771" i="18" s="1"/>
  <c r="L771" i="18"/>
  <c r="K769" i="18"/>
  <c r="J769" i="18"/>
  <c r="P766" i="18"/>
  <c r="O766" i="18"/>
  <c r="P765" i="18"/>
  <c r="O765" i="18"/>
  <c r="P764" i="18"/>
  <c r="N764" i="18"/>
  <c r="M764" i="18"/>
  <c r="L764" i="18"/>
  <c r="O764" i="18" s="1"/>
  <c r="P759" i="18"/>
  <c r="O759" i="18"/>
  <c r="N759" i="18"/>
  <c r="N756" i="18" s="1"/>
  <c r="N754" i="18" s="1"/>
  <c r="P758" i="18"/>
  <c r="O758" i="18"/>
  <c r="P757" i="18"/>
  <c r="O757" i="18"/>
  <c r="N757" i="18"/>
  <c r="M757" i="18"/>
  <c r="L757" i="18"/>
  <c r="O756" i="18"/>
  <c r="M756" i="18"/>
  <c r="L756" i="18"/>
  <c r="N755" i="18"/>
  <c r="M755" i="18"/>
  <c r="P755" i="18" s="1"/>
  <c r="L755" i="18"/>
  <c r="K753" i="18"/>
  <c r="J753" i="18"/>
  <c r="P749" i="18"/>
  <c r="O749" i="18"/>
  <c r="P748" i="18"/>
  <c r="O748" i="18"/>
  <c r="P747" i="18"/>
  <c r="N747" i="18"/>
  <c r="M747" i="18"/>
  <c r="L747" i="18"/>
  <c r="O747" i="18" s="1"/>
  <c r="P742" i="18"/>
  <c r="O742" i="18"/>
  <c r="N742" i="18"/>
  <c r="N739" i="18" s="1"/>
  <c r="N737" i="18" s="1"/>
  <c r="P741" i="18"/>
  <c r="O741" i="18"/>
  <c r="P740" i="18"/>
  <c r="O740" i="18"/>
  <c r="N740" i="18"/>
  <c r="M740" i="18"/>
  <c r="L740" i="18"/>
  <c r="O739" i="18"/>
  <c r="M739" i="18"/>
  <c r="L739" i="18"/>
  <c r="N738" i="18"/>
  <c r="M738" i="18"/>
  <c r="P738" i="18" s="1"/>
  <c r="L738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N695" i="18"/>
  <c r="M695" i="18"/>
  <c r="P695" i="18" s="1"/>
  <c r="L695" i="18"/>
  <c r="O695" i="18" s="1"/>
  <c r="P690" i="18"/>
  <c r="N690" i="18"/>
  <c r="N688" i="18" s="1"/>
  <c r="L690" i="18"/>
  <c r="P688" i="18"/>
  <c r="M688" i="18"/>
  <c r="N687" i="18"/>
  <c r="M687" i="18"/>
  <c r="P687" i="18" s="1"/>
  <c r="N686" i="18"/>
  <c r="M686" i="18"/>
  <c r="L686" i="18"/>
  <c r="O686" i="18" s="1"/>
  <c r="J679" i="18"/>
  <c r="J678" i="18"/>
  <c r="I678" i="18"/>
  <c r="K678" i="18" s="1"/>
  <c r="J675" i="18"/>
  <c r="I671" i="18"/>
  <c r="K671" i="18" s="1"/>
  <c r="I670" i="18"/>
  <c r="K670" i="18" s="1"/>
  <c r="I669" i="18"/>
  <c r="K674" i="18" s="1"/>
  <c r="P667" i="18"/>
  <c r="O667" i="18"/>
  <c r="P666" i="18"/>
  <c r="O666" i="18"/>
  <c r="N665" i="18"/>
  <c r="M665" i="18"/>
  <c r="P665" i="18" s="1"/>
  <c r="L665" i="18"/>
  <c r="O665" i="18" s="1"/>
  <c r="P660" i="18"/>
  <c r="N660" i="18"/>
  <c r="L660" i="18"/>
  <c r="P659" i="18"/>
  <c r="O659" i="18"/>
  <c r="P658" i="18"/>
  <c r="N658" i="18"/>
  <c r="M658" i="18"/>
  <c r="L658" i="18"/>
  <c r="O658" i="18" s="1"/>
  <c r="N657" i="18"/>
  <c r="M657" i="18"/>
  <c r="P657" i="18" s="1"/>
  <c r="P656" i="18"/>
  <c r="N656" i="18"/>
  <c r="N655" i="18" s="1"/>
  <c r="M656" i="18"/>
  <c r="L656" i="18"/>
  <c r="O656" i="18" s="1"/>
  <c r="M655" i="18"/>
  <c r="P655" i="18" s="1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P634" i="18"/>
  <c r="N634" i="18"/>
  <c r="L634" i="18"/>
  <c r="L632" i="18" s="1"/>
  <c r="P633" i="18"/>
  <c r="O633" i="18"/>
  <c r="N632" i="18"/>
  <c r="M632" i="18"/>
  <c r="P632" i="18" s="1"/>
  <c r="N631" i="18"/>
  <c r="N629" i="18" s="1"/>
  <c r="M631" i="18"/>
  <c r="P631" i="18" s="1"/>
  <c r="P630" i="18"/>
  <c r="N630" i="18"/>
  <c r="M630" i="18"/>
  <c r="L630" i="18"/>
  <c r="O630" i="18" s="1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3" i="18" s="1"/>
  <c r="J592" i="18" s="1"/>
  <c r="J594" i="18"/>
  <c r="I594" i="18"/>
  <c r="K594" i="18" s="1"/>
  <c r="I593" i="18"/>
  <c r="J583" i="18"/>
  <c r="J582" i="18"/>
  <c r="J576" i="18" s="1"/>
  <c r="J559" i="18" s="1"/>
  <c r="J543" i="18" s="1"/>
  <c r="J577" i="18"/>
  <c r="I577" i="18"/>
  <c r="K577" i="18" s="1"/>
  <c r="I576" i="18"/>
  <c r="I559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P556" i="18"/>
  <c r="O556" i="18"/>
  <c r="P555" i="18"/>
  <c r="N555" i="18"/>
  <c r="M555" i="18"/>
  <c r="M545" i="18" s="1"/>
  <c r="L555" i="18"/>
  <c r="O555" i="18" s="1"/>
  <c r="P549" i="18"/>
  <c r="N549" i="18"/>
  <c r="L549" i="18"/>
  <c r="O549" i="18" s="1"/>
  <c r="P548" i="18"/>
  <c r="O548" i="18"/>
  <c r="N547" i="18"/>
  <c r="M547" i="18"/>
  <c r="P547" i="18" s="1"/>
  <c r="P546" i="18"/>
  <c r="N546" i="18"/>
  <c r="N544" i="18" s="1"/>
  <c r="M546" i="18"/>
  <c r="O545" i="18"/>
  <c r="N545" i="18"/>
  <c r="L545" i="18"/>
  <c r="I542" i="18"/>
  <c r="K542" i="18" s="1"/>
  <c r="I541" i="18"/>
  <c r="K541" i="18" s="1"/>
  <c r="I540" i="18"/>
  <c r="I539" i="18"/>
  <c r="K539" i="18" s="1"/>
  <c r="I538" i="18"/>
  <c r="K538" i="18" s="1"/>
  <c r="I537" i="18"/>
  <c r="P535" i="18"/>
  <c r="L535" i="18"/>
  <c r="L533" i="18" s="1"/>
  <c r="O533" i="18" s="1"/>
  <c r="P534" i="18"/>
  <c r="O534" i="18"/>
  <c r="P533" i="18"/>
  <c r="N533" i="18"/>
  <c r="M533" i="18"/>
  <c r="P528" i="18"/>
  <c r="N528" i="18"/>
  <c r="L528" i="18"/>
  <c r="L526" i="18" s="1"/>
  <c r="O526" i="18" s="1"/>
  <c r="P527" i="18"/>
  <c r="O527" i="18"/>
  <c r="N526" i="18"/>
  <c r="M526" i="18"/>
  <c r="P526" i="18" s="1"/>
  <c r="N525" i="18"/>
  <c r="M525" i="18"/>
  <c r="P525" i="18" s="1"/>
  <c r="N524" i="18"/>
  <c r="M524" i="18"/>
  <c r="L524" i="18"/>
  <c r="O524" i="18" s="1"/>
  <c r="K517" i="18"/>
  <c r="J517" i="18"/>
  <c r="K516" i="18"/>
  <c r="P514" i="18"/>
  <c r="O514" i="18"/>
  <c r="P513" i="18"/>
  <c r="O513" i="18"/>
  <c r="O512" i="18"/>
  <c r="N512" i="18"/>
  <c r="M512" i="18"/>
  <c r="P512" i="18" s="1"/>
  <c r="L512" i="18"/>
  <c r="P507" i="18"/>
  <c r="O507" i="18"/>
  <c r="N507" i="18"/>
  <c r="N504" i="18" s="1"/>
  <c r="N502" i="18" s="1"/>
  <c r="P506" i="18"/>
  <c r="O506" i="18"/>
  <c r="O505" i="18"/>
  <c r="N505" i="18"/>
  <c r="M505" i="18"/>
  <c r="P505" i="18" s="1"/>
  <c r="L505" i="18"/>
  <c r="P504" i="18"/>
  <c r="M504" i="18"/>
  <c r="M502" i="18" s="1"/>
  <c r="L504" i="18"/>
  <c r="O504" i="18" s="1"/>
  <c r="N503" i="18"/>
  <c r="M503" i="18"/>
  <c r="P503" i="18" s="1"/>
  <c r="L503" i="18"/>
  <c r="L502" i="18" s="1"/>
  <c r="O502" i="18" s="1"/>
  <c r="P502" i="18"/>
  <c r="K501" i="18"/>
  <c r="J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P472" i="18"/>
  <c r="N472" i="18"/>
  <c r="L472" i="18"/>
  <c r="P471" i="18"/>
  <c r="O471" i="18"/>
  <c r="M470" i="18"/>
  <c r="P470" i="18" s="1"/>
  <c r="P469" i="18"/>
  <c r="M469" i="18"/>
  <c r="M467" i="18" s="1"/>
  <c r="N468" i="18"/>
  <c r="M468" i="18"/>
  <c r="P468" i="18" s="1"/>
  <c r="L468" i="18"/>
  <c r="P467" i="18"/>
  <c r="J466" i="18"/>
  <c r="I466" i="18"/>
  <c r="J465" i="18"/>
  <c r="I465" i="18"/>
  <c r="K465" i="18" s="1"/>
  <c r="I464" i="18"/>
  <c r="I463" i="18"/>
  <c r="I462" i="18"/>
  <c r="K462" i="18" s="1"/>
  <c r="I460" i="18"/>
  <c r="K460" i="18" s="1"/>
  <c r="K458" i="18"/>
  <c r="P456" i="18"/>
  <c r="L456" i="18"/>
  <c r="P455" i="18"/>
  <c r="O455" i="18"/>
  <c r="N454" i="18"/>
  <c r="M454" i="18"/>
  <c r="P454" i="18" s="1"/>
  <c r="P449" i="18"/>
  <c r="N449" i="18"/>
  <c r="N446" i="18" s="1"/>
  <c r="N444" i="18" s="1"/>
  <c r="L449" i="18"/>
  <c r="L447" i="18" s="1"/>
  <c r="P448" i="18"/>
  <c r="O448" i="18"/>
  <c r="N447" i="18"/>
  <c r="M447" i="18"/>
  <c r="P447" i="18" s="1"/>
  <c r="M446" i="18"/>
  <c r="P446" i="18" s="1"/>
  <c r="N445" i="18"/>
  <c r="M445" i="18"/>
  <c r="L445" i="18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J434" i="18"/>
  <c r="P431" i="18"/>
  <c r="L431" i="18"/>
  <c r="P430" i="18"/>
  <c r="O430" i="18"/>
  <c r="P429" i="18"/>
  <c r="N429" i="18"/>
  <c r="M429" i="18"/>
  <c r="P424" i="18"/>
  <c r="N424" i="18"/>
  <c r="L424" i="18"/>
  <c r="L422" i="18" s="1"/>
  <c r="P423" i="18"/>
  <c r="O423" i="18"/>
  <c r="M422" i="18"/>
  <c r="P422" i="18" s="1"/>
  <c r="N421" i="18"/>
  <c r="N419" i="18" s="1"/>
  <c r="M421" i="18"/>
  <c r="P421" i="18" s="1"/>
  <c r="P420" i="18"/>
  <c r="N420" i="18"/>
  <c r="M420" i="18"/>
  <c r="L420" i="18"/>
  <c r="O420" i="18" s="1"/>
  <c r="J418" i="18"/>
  <c r="K413" i="18"/>
  <c r="K412" i="18"/>
  <c r="N410" i="18"/>
  <c r="N408" i="18" s="1"/>
  <c r="M410" i="18"/>
  <c r="P410" i="18" s="1"/>
  <c r="L410" i="18"/>
  <c r="P409" i="18"/>
  <c r="O409" i="18"/>
  <c r="N407" i="18"/>
  <c r="N405" i="18" s="1"/>
  <c r="M407" i="18"/>
  <c r="L407" i="18"/>
  <c r="P406" i="18"/>
  <c r="O406" i="18"/>
  <c r="P403" i="18"/>
  <c r="O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L397" i="18"/>
  <c r="O397" i="18" s="1"/>
  <c r="P396" i="18"/>
  <c r="O396" i="18"/>
  <c r="N394" i="18"/>
  <c r="M394" i="18"/>
  <c r="M392" i="18" s="1"/>
  <c r="P392" i="18" s="1"/>
  <c r="L394" i="18"/>
  <c r="O394" i="18" s="1"/>
  <c r="P393" i="18"/>
  <c r="O393" i="18"/>
  <c r="P390" i="18"/>
  <c r="N390" i="18"/>
  <c r="M390" i="18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N351" i="18" s="1"/>
  <c r="M353" i="18"/>
  <c r="L353" i="18"/>
  <c r="L351" i="18" s="1"/>
  <c r="P352" i="18"/>
  <c r="O352" i="18"/>
  <c r="N350" i="18"/>
  <c r="N348" i="18" s="1"/>
  <c r="M350" i="18"/>
  <c r="L350" i="18"/>
  <c r="L348" i="18" s="1"/>
  <c r="P349" i="18"/>
  <c r="O349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M334" i="18" s="1"/>
  <c r="P334" i="18" s="1"/>
  <c r="L336" i="18"/>
  <c r="O336" i="18" s="1"/>
  <c r="P335" i="18"/>
  <c r="O335" i="18"/>
  <c r="N333" i="18"/>
  <c r="N331" i="18" s="1"/>
  <c r="M333" i="18"/>
  <c r="L333" i="18"/>
  <c r="L331" i="18" s="1"/>
  <c r="P332" i="18"/>
  <c r="O332" i="18"/>
  <c r="O329" i="18"/>
  <c r="N329" i="18"/>
  <c r="M329" i="18"/>
  <c r="L329" i="18"/>
  <c r="I327" i="18"/>
  <c r="I325" i="18"/>
  <c r="I314" i="18" s="1"/>
  <c r="K314" i="18" s="1"/>
  <c r="N323" i="18"/>
  <c r="N321" i="18" s="1"/>
  <c r="M323" i="18"/>
  <c r="P323" i="18" s="1"/>
  <c r="L323" i="18"/>
  <c r="L321" i="18" s="1"/>
  <c r="O321" i="18" s="1"/>
  <c r="P322" i="18"/>
  <c r="O322" i="18"/>
  <c r="N320" i="18"/>
  <c r="N318" i="18" s="1"/>
  <c r="M320" i="18"/>
  <c r="M318" i="18" s="1"/>
  <c r="P318" i="18" s="1"/>
  <c r="L320" i="18"/>
  <c r="P319" i="18"/>
  <c r="O319" i="18"/>
  <c r="O316" i="18"/>
  <c r="N316" i="18"/>
  <c r="M316" i="18"/>
  <c r="P316" i="18" s="1"/>
  <c r="L316" i="18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P306" i="18" s="1"/>
  <c r="L306" i="18"/>
  <c r="O306" i="18" s="1"/>
  <c r="P305" i="18"/>
  <c r="O305" i="18"/>
  <c r="N303" i="18"/>
  <c r="N301" i="18" s="1"/>
  <c r="M303" i="18"/>
  <c r="P303" i="18" s="1"/>
  <c r="L303" i="18"/>
  <c r="O303" i="18" s="1"/>
  <c r="P302" i="18"/>
  <c r="O302" i="18"/>
  <c r="P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I276" i="18" s="1"/>
  <c r="K276" i="18" s="1"/>
  <c r="N285" i="18"/>
  <c r="N283" i="18" s="1"/>
  <c r="M285" i="18"/>
  <c r="P285" i="18" s="1"/>
  <c r="L285" i="18"/>
  <c r="O285" i="18" s="1"/>
  <c r="P284" i="18"/>
  <c r="O284" i="18"/>
  <c r="N282" i="18"/>
  <c r="N280" i="18" s="1"/>
  <c r="M282" i="18"/>
  <c r="L282" i="18"/>
  <c r="L280" i="18" s="1"/>
  <c r="P281" i="18"/>
  <c r="O281" i="18"/>
  <c r="P278" i="18"/>
  <c r="N278" i="18"/>
  <c r="M278" i="18"/>
  <c r="L278" i="18"/>
  <c r="O278" i="18" s="1"/>
  <c r="J276" i="18"/>
  <c r="I271" i="18"/>
  <c r="I260" i="18" s="1"/>
  <c r="K260" i="18" s="1"/>
  <c r="N269" i="18"/>
  <c r="N267" i="18" s="1"/>
  <c r="M269" i="18"/>
  <c r="P269" i="18" s="1"/>
  <c r="L269" i="18"/>
  <c r="O269" i="18" s="1"/>
  <c r="P268" i="18"/>
  <c r="O268" i="18"/>
  <c r="N266" i="18"/>
  <c r="N264" i="18" s="1"/>
  <c r="M266" i="18"/>
  <c r="M264" i="18" s="1"/>
  <c r="L266" i="18"/>
  <c r="L264" i="18" s="1"/>
  <c r="P265" i="18"/>
  <c r="O265" i="18"/>
  <c r="P262" i="18"/>
  <c r="N262" i="18"/>
  <c r="M262" i="18"/>
  <c r="L262" i="18"/>
  <c r="O262" i="18" s="1"/>
  <c r="J260" i="18"/>
  <c r="K258" i="18"/>
  <c r="K257" i="18"/>
  <c r="I255" i="18"/>
  <c r="I248" i="18" s="1"/>
  <c r="K248" i="18" s="1"/>
  <c r="L253" i="18"/>
  <c r="L252" i="18"/>
  <c r="L251" i="18"/>
  <c r="L250" i="18"/>
  <c r="P249" i="18"/>
  <c r="N249" i="18"/>
  <c r="J248" i="18"/>
  <c r="K247" i="18"/>
  <c r="K246" i="18"/>
  <c r="I244" i="18"/>
  <c r="I237" i="18" s="1"/>
  <c r="K237" i="18" s="1"/>
  <c r="L242" i="18"/>
  <c r="L241" i="18"/>
  <c r="L240" i="18"/>
  <c r="L239" i="18"/>
  <c r="P238" i="18"/>
  <c r="N238" i="18"/>
  <c r="J237" i="18"/>
  <c r="J226" i="18" s="1"/>
  <c r="J180" i="18" s="1"/>
  <c r="J236" i="18"/>
  <c r="I236" i="18"/>
  <c r="K236" i="18" s="1"/>
  <c r="J235" i="18"/>
  <c r="I235" i="18"/>
  <c r="K235" i="18" s="1"/>
  <c r="J233" i="18"/>
  <c r="N231" i="18"/>
  <c r="N230" i="18"/>
  <c r="N229" i="18"/>
  <c r="N228" i="18"/>
  <c r="N227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N184" i="18" s="1"/>
  <c r="M186" i="18"/>
  <c r="L186" i="18"/>
  <c r="P185" i="18"/>
  <c r="O185" i="18"/>
  <c r="P182" i="18"/>
  <c r="O182" i="18"/>
  <c r="N182" i="18"/>
  <c r="M182" i="18"/>
  <c r="L182" i="18"/>
  <c r="J177" i="18"/>
  <c r="I176" i="18"/>
  <c r="I174" i="18" s="1"/>
  <c r="I164" i="18" s="1"/>
  <c r="J174" i="18"/>
  <c r="N173" i="18"/>
  <c r="N171" i="18" s="1"/>
  <c r="M173" i="18"/>
  <c r="P173" i="18" s="1"/>
  <c r="L173" i="18"/>
  <c r="O173" i="18" s="1"/>
  <c r="P172" i="18"/>
  <c r="O172" i="18"/>
  <c r="N170" i="18"/>
  <c r="M170" i="18"/>
  <c r="L170" i="18"/>
  <c r="L168" i="18" s="1"/>
  <c r="P169" i="18"/>
  <c r="O169" i="18"/>
  <c r="O166" i="18"/>
  <c r="N166" i="18"/>
  <c r="M166" i="18"/>
  <c r="L166" i="18"/>
  <c r="J164" i="18"/>
  <c r="I159" i="18"/>
  <c r="K159" i="18" s="1"/>
  <c r="N157" i="18"/>
  <c r="N155" i="18" s="1"/>
  <c r="M157" i="18"/>
  <c r="P157" i="18" s="1"/>
  <c r="L157" i="18"/>
  <c r="O157" i="18" s="1"/>
  <c r="P156" i="18"/>
  <c r="O156" i="18"/>
  <c r="N154" i="18"/>
  <c r="N152" i="18" s="1"/>
  <c r="M154" i="18"/>
  <c r="P154" i="18" s="1"/>
  <c r="L154" i="18"/>
  <c r="O154" i="18" s="1"/>
  <c r="P153" i="18"/>
  <c r="O153" i="18"/>
  <c r="N150" i="18"/>
  <c r="M150" i="18"/>
  <c r="L150" i="18"/>
  <c r="O150" i="18" s="1"/>
  <c r="J148" i="18"/>
  <c r="I146" i="18"/>
  <c r="K146" i="18" s="1"/>
  <c r="I145" i="18"/>
  <c r="K145" i="18" s="1"/>
  <c r="I144" i="18"/>
  <c r="K144" i="18" s="1"/>
  <c r="N140" i="18"/>
  <c r="M140" i="18"/>
  <c r="M138" i="18" s="1"/>
  <c r="P138" i="18" s="1"/>
  <c r="L140" i="18"/>
  <c r="O140" i="18" s="1"/>
  <c r="P139" i="18"/>
  <c r="O139" i="18"/>
  <c r="N137" i="18"/>
  <c r="N135" i="18" s="1"/>
  <c r="M137" i="18"/>
  <c r="M135" i="18" s="1"/>
  <c r="P135" i="18" s="1"/>
  <c r="L137" i="18"/>
  <c r="L135" i="18" s="1"/>
  <c r="O135" i="18" s="1"/>
  <c r="P136" i="18"/>
  <c r="O136" i="18"/>
  <c r="N133" i="18"/>
  <c r="M133" i="18"/>
  <c r="L133" i="18"/>
  <c r="O133" i="18" s="1"/>
  <c r="J130" i="18"/>
  <c r="N127" i="18"/>
  <c r="N125" i="18" s="1"/>
  <c r="M127" i="18"/>
  <c r="L127" i="18"/>
  <c r="P126" i="18"/>
  <c r="O126" i="18"/>
  <c r="N124" i="18"/>
  <c r="N122" i="18" s="1"/>
  <c r="M124" i="18"/>
  <c r="P124" i="18" s="1"/>
  <c r="L124" i="18"/>
  <c r="L122" i="18" s="1"/>
  <c r="O122" i="18" s="1"/>
  <c r="P123" i="18"/>
  <c r="O123" i="18"/>
  <c r="N120" i="18"/>
  <c r="M120" i="18"/>
  <c r="P120" i="18" s="1"/>
  <c r="L120" i="18"/>
  <c r="O120" i="18" s="1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I87" i="18" s="1"/>
  <c r="K87" i="18" s="1"/>
  <c r="J98" i="18"/>
  <c r="J86" i="18" s="1"/>
  <c r="I98" i="18"/>
  <c r="N96" i="18"/>
  <c r="N94" i="18" s="1"/>
  <c r="M96" i="18"/>
  <c r="P96" i="18" s="1"/>
  <c r="L96" i="18"/>
  <c r="O96" i="18" s="1"/>
  <c r="P95" i="18"/>
  <c r="O95" i="18"/>
  <c r="N93" i="18"/>
  <c r="M93" i="18"/>
  <c r="L93" i="18"/>
  <c r="L91" i="18" s="1"/>
  <c r="P92" i="18"/>
  <c r="O92" i="18"/>
  <c r="N89" i="18"/>
  <c r="M89" i="18"/>
  <c r="P89" i="18" s="1"/>
  <c r="L89" i="18"/>
  <c r="O89" i="18" s="1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K78" i="18" s="1"/>
  <c r="J77" i="18"/>
  <c r="J76" i="18"/>
  <c r="N74" i="18"/>
  <c r="M74" i="18"/>
  <c r="P74" i="18" s="1"/>
  <c r="L74" i="18"/>
  <c r="O74" i="18" s="1"/>
  <c r="P73" i="18"/>
  <c r="O73" i="18"/>
  <c r="N71" i="18"/>
  <c r="N69" i="18" s="1"/>
  <c r="M71" i="18"/>
  <c r="M69" i="18" s="1"/>
  <c r="L71" i="18"/>
  <c r="P70" i="18"/>
  <c r="O70" i="18"/>
  <c r="P67" i="18"/>
  <c r="O67" i="18"/>
  <c r="N67" i="18"/>
  <c r="M67" i="18"/>
  <c r="L67" i="18"/>
  <c r="J65" i="18"/>
  <c r="J64" i="18"/>
  <c r="N61" i="18"/>
  <c r="N59" i="18" s="1"/>
  <c r="M61" i="18"/>
  <c r="L61" i="18"/>
  <c r="L59" i="18" s="1"/>
  <c r="P60" i="18"/>
  <c r="O60" i="18"/>
  <c r="N58" i="18"/>
  <c r="M58" i="18"/>
  <c r="L58" i="18"/>
  <c r="L56" i="18" s="1"/>
  <c r="P57" i="18"/>
  <c r="O57" i="18"/>
  <c r="O54" i="18"/>
  <c r="N54" i="18"/>
  <c r="M54" i="18"/>
  <c r="P54" i="18" s="1"/>
  <c r="L54" i="18"/>
  <c r="N49" i="18"/>
  <c r="N47" i="18" s="1"/>
  <c r="M49" i="18"/>
  <c r="M47" i="18" s="1"/>
  <c r="P47" i="18" s="1"/>
  <c r="L49" i="18"/>
  <c r="O49" i="18" s="1"/>
  <c r="P48" i="18"/>
  <c r="O48" i="18"/>
  <c r="N46" i="18"/>
  <c r="N44" i="18" s="1"/>
  <c r="M46" i="18"/>
  <c r="L46" i="18"/>
  <c r="P45" i="18"/>
  <c r="O45" i="18"/>
  <c r="P42" i="18"/>
  <c r="O42" i="18"/>
  <c r="N42" i="18"/>
  <c r="M42" i="18"/>
  <c r="L42" i="18"/>
  <c r="N36" i="18"/>
  <c r="M36" i="18"/>
  <c r="P36" i="18" s="1"/>
  <c r="N35" i="18"/>
  <c r="N34" i="18" s="1"/>
  <c r="M35" i="18"/>
  <c r="M15" i="18" s="1"/>
  <c r="L35" i="18"/>
  <c r="O35" i="18" s="1"/>
  <c r="P33" i="18"/>
  <c r="N33" i="18"/>
  <c r="M33" i="18"/>
  <c r="P32" i="18"/>
  <c r="O32" i="18"/>
  <c r="N32" i="18"/>
  <c r="M32" i="18"/>
  <c r="M31" i="18" s="1"/>
  <c r="P31" i="18" s="1"/>
  <c r="L32" i="18"/>
  <c r="N31" i="18"/>
  <c r="N30" i="18"/>
  <c r="M30" i="18"/>
  <c r="P30" i="18" s="1"/>
  <c r="N29" i="18"/>
  <c r="N28" i="18" s="1"/>
  <c r="L29" i="18"/>
  <c r="O29" i="18" s="1"/>
  <c r="P25" i="18"/>
  <c r="O25" i="18"/>
  <c r="N25" i="18"/>
  <c r="M25" i="18"/>
  <c r="L25" i="18"/>
  <c r="N22" i="18"/>
  <c r="M22" i="18"/>
  <c r="L22" i="18"/>
  <c r="O22" i="18" s="1"/>
  <c r="N15" i="18"/>
  <c r="L15" i="18"/>
  <c r="O15" i="18" s="1"/>
  <c r="L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L806" i="17"/>
  <c r="O806" i="17" s="1"/>
  <c r="K804" i="17"/>
  <c r="J804" i="17"/>
  <c r="K802" i="17"/>
  <c r="J801" i="17"/>
  <c r="J800" i="17"/>
  <c r="J785" i="17" s="1"/>
  <c r="I800" i="17"/>
  <c r="P798" i="17"/>
  <c r="O798" i="17"/>
  <c r="P797" i="17"/>
  <c r="O797" i="17"/>
  <c r="P796" i="17"/>
  <c r="O796" i="17"/>
  <c r="N796" i="17"/>
  <c r="M796" i="17"/>
  <c r="L796" i="17"/>
  <c r="P791" i="17"/>
  <c r="N791" i="17"/>
  <c r="L791" i="17"/>
  <c r="L789" i="17" s="1"/>
  <c r="O789" i="17" s="1"/>
  <c r="P790" i="17"/>
  <c r="O790" i="17"/>
  <c r="N789" i="17"/>
  <c r="M789" i="17"/>
  <c r="P789" i="17" s="1"/>
  <c r="N788" i="17"/>
  <c r="N786" i="17" s="1"/>
  <c r="M788" i="17"/>
  <c r="P788" i="17" s="1"/>
  <c r="N787" i="17"/>
  <c r="M787" i="17"/>
  <c r="L787" i="17"/>
  <c r="O787" i="17" s="1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P774" i="17"/>
  <c r="O774" i="17"/>
  <c r="P773" i="17"/>
  <c r="O773" i="17"/>
  <c r="N773" i="17"/>
  <c r="M773" i="17"/>
  <c r="L773" i="17"/>
  <c r="O772" i="17"/>
  <c r="N772" i="17"/>
  <c r="M772" i="17"/>
  <c r="P772" i="17" s="1"/>
  <c r="L772" i="17"/>
  <c r="N771" i="17"/>
  <c r="N770" i="17" s="1"/>
  <c r="M771" i="17"/>
  <c r="P771" i="17" s="1"/>
  <c r="L771" i="17"/>
  <c r="O771" i="17" s="1"/>
  <c r="L770" i="17"/>
  <c r="O770" i="17" s="1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P758" i="17"/>
  <c r="O758" i="17"/>
  <c r="P757" i="17"/>
  <c r="O757" i="17"/>
  <c r="N757" i="17"/>
  <c r="M757" i="17"/>
  <c r="L757" i="17"/>
  <c r="O756" i="17"/>
  <c r="N756" i="17"/>
  <c r="M756" i="17"/>
  <c r="P756" i="17" s="1"/>
  <c r="L756" i="17"/>
  <c r="N755" i="17"/>
  <c r="N754" i="17" s="1"/>
  <c r="M755" i="17"/>
  <c r="P755" i="17" s="1"/>
  <c r="L755" i="17"/>
  <c r="O755" i="17" s="1"/>
  <c r="M754" i="17"/>
  <c r="P754" i="17" s="1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P741" i="17"/>
  <c r="O741" i="17"/>
  <c r="P740" i="17"/>
  <c r="O740" i="17"/>
  <c r="N740" i="17"/>
  <c r="M740" i="17"/>
  <c r="L740" i="17"/>
  <c r="O739" i="17"/>
  <c r="N739" i="17"/>
  <c r="M739" i="17"/>
  <c r="P739" i="17" s="1"/>
  <c r="L739" i="17"/>
  <c r="N738" i="17"/>
  <c r="N737" i="17" s="1"/>
  <c r="M738" i="17"/>
  <c r="L738" i="17"/>
  <c r="O738" i="17" s="1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P695" i="17"/>
  <c r="N695" i="17"/>
  <c r="M695" i="17"/>
  <c r="L695" i="17"/>
  <c r="O695" i="17" s="1"/>
  <c r="P690" i="17"/>
  <c r="N690" i="17"/>
  <c r="L690" i="17"/>
  <c r="L688" i="17" s="1"/>
  <c r="O688" i="17" s="1"/>
  <c r="N688" i="17"/>
  <c r="M688" i="17"/>
  <c r="P688" i="17" s="1"/>
  <c r="N687" i="17"/>
  <c r="N685" i="17" s="1"/>
  <c r="M687" i="17"/>
  <c r="P687" i="17" s="1"/>
  <c r="N686" i="17"/>
  <c r="M686" i="17"/>
  <c r="L686" i="17"/>
  <c r="O686" i="17" s="1"/>
  <c r="J679" i="17"/>
  <c r="J678" i="17" s="1"/>
  <c r="I678" i="17"/>
  <c r="K678" i="17" s="1"/>
  <c r="J675" i="17"/>
  <c r="J669" i="17" s="1"/>
  <c r="J654" i="17" s="1"/>
  <c r="I671" i="17"/>
  <c r="K671" i="17" s="1"/>
  <c r="I670" i="17"/>
  <c r="K670" i="17" s="1"/>
  <c r="I669" i="17"/>
  <c r="K672" i="17" s="1"/>
  <c r="P667" i="17"/>
  <c r="O667" i="17"/>
  <c r="P666" i="17"/>
  <c r="O666" i="17"/>
  <c r="N665" i="17"/>
  <c r="M665" i="17"/>
  <c r="P665" i="17" s="1"/>
  <c r="L665" i="17"/>
  <c r="O665" i="17" s="1"/>
  <c r="P660" i="17"/>
  <c r="N660" i="17"/>
  <c r="L660" i="17"/>
  <c r="L657" i="17" s="1"/>
  <c r="P659" i="17"/>
  <c r="O659" i="17"/>
  <c r="P658" i="17"/>
  <c r="N658" i="17"/>
  <c r="M658" i="17"/>
  <c r="P657" i="17"/>
  <c r="M657" i="17"/>
  <c r="P656" i="17"/>
  <c r="O656" i="17"/>
  <c r="N656" i="17"/>
  <c r="M656" i="17"/>
  <c r="L656" i="17"/>
  <c r="M655" i="17"/>
  <c r="P655" i="17" s="1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P640" i="17"/>
  <c r="O640" i="17"/>
  <c r="N639" i="17"/>
  <c r="M639" i="17"/>
  <c r="P639" i="17" s="1"/>
  <c r="P634" i="17"/>
  <c r="N634" i="17"/>
  <c r="N631" i="17" s="1"/>
  <c r="L634" i="17"/>
  <c r="P633" i="17"/>
  <c r="O633" i="17"/>
  <c r="P632" i="17"/>
  <c r="M632" i="17"/>
  <c r="M631" i="17"/>
  <c r="P631" i="17" s="1"/>
  <c r="P630" i="17"/>
  <c r="N630" i="17"/>
  <c r="N629" i="17" s="1"/>
  <c r="M630" i="17"/>
  <c r="L630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4" i="17"/>
  <c r="I594" i="17"/>
  <c r="K594" i="17" s="1"/>
  <c r="I593" i="17"/>
  <c r="I592" i="17" s="1"/>
  <c r="J583" i="17"/>
  <c r="J577" i="17" s="1"/>
  <c r="J582" i="17"/>
  <c r="I577" i="17"/>
  <c r="J576" i="17"/>
  <c r="J559" i="17" s="1"/>
  <c r="J543" i="17" s="1"/>
  <c r="I576" i="17"/>
  <c r="I559" i="17" s="1"/>
  <c r="I543" i="17" s="1"/>
  <c r="J569" i="17"/>
  <c r="I569" i="17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O557" i="17" s="1"/>
  <c r="P556" i="17"/>
  <c r="O556" i="17"/>
  <c r="P555" i="17"/>
  <c r="N555" i="17"/>
  <c r="N545" i="17" s="1"/>
  <c r="M555" i="17"/>
  <c r="L555" i="17"/>
  <c r="O555" i="17" s="1"/>
  <c r="P549" i="17"/>
  <c r="N549" i="17"/>
  <c r="L549" i="17"/>
  <c r="L547" i="17" s="1"/>
  <c r="O547" i="17" s="1"/>
  <c r="P548" i="17"/>
  <c r="O548" i="17"/>
  <c r="P547" i="17"/>
  <c r="N547" i="17"/>
  <c r="M547" i="17"/>
  <c r="P546" i="17"/>
  <c r="N546" i="17"/>
  <c r="M546" i="17"/>
  <c r="O545" i="17"/>
  <c r="M545" i="17"/>
  <c r="P545" i="17" s="1"/>
  <c r="L545" i="17"/>
  <c r="M544" i="17"/>
  <c r="P544" i="17" s="1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I522" i="17" s="1"/>
  <c r="K522" i="17" s="1"/>
  <c r="P535" i="17"/>
  <c r="L535" i="17"/>
  <c r="O535" i="17" s="1"/>
  <c r="P534" i="17"/>
  <c r="O534" i="17"/>
  <c r="P533" i="17"/>
  <c r="N533" i="17"/>
  <c r="M533" i="17"/>
  <c r="P528" i="17"/>
  <c r="N528" i="17"/>
  <c r="L528" i="17"/>
  <c r="L526" i="17" s="1"/>
  <c r="O526" i="17" s="1"/>
  <c r="P527" i="17"/>
  <c r="O527" i="17"/>
  <c r="M526" i="17"/>
  <c r="P526" i="17" s="1"/>
  <c r="M525" i="17"/>
  <c r="P525" i="17" s="1"/>
  <c r="O524" i="17"/>
  <c r="N524" i="17"/>
  <c r="M524" i="17"/>
  <c r="L524" i="17"/>
  <c r="K517" i="17"/>
  <c r="J517" i="17"/>
  <c r="K516" i="17"/>
  <c r="P514" i="17"/>
  <c r="O514" i="17"/>
  <c r="P513" i="17"/>
  <c r="O513" i="17"/>
  <c r="O512" i="17"/>
  <c r="N512" i="17"/>
  <c r="M512" i="17"/>
  <c r="P512" i="17" s="1"/>
  <c r="L512" i="17"/>
  <c r="P507" i="17"/>
  <c r="O507" i="17"/>
  <c r="N507" i="17"/>
  <c r="N505" i="17" s="1"/>
  <c r="P506" i="17"/>
  <c r="O506" i="17"/>
  <c r="O505" i="17"/>
  <c r="M505" i="17"/>
  <c r="P505" i="17" s="1"/>
  <c r="L505" i="17"/>
  <c r="P504" i="17"/>
  <c r="M504" i="17"/>
  <c r="L504" i="17"/>
  <c r="O503" i="17"/>
  <c r="N503" i="17"/>
  <c r="M503" i="17"/>
  <c r="M502" i="17" s="1"/>
  <c r="L503" i="17"/>
  <c r="P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N477" i="17"/>
  <c r="M477" i="17"/>
  <c r="P477" i="17" s="1"/>
  <c r="P472" i="17"/>
  <c r="N472" i="17"/>
  <c r="L472" i="17"/>
  <c r="O472" i="17" s="1"/>
  <c r="P471" i="17"/>
  <c r="O471" i="17"/>
  <c r="N470" i="17"/>
  <c r="M470" i="17"/>
  <c r="P470" i="17" s="1"/>
  <c r="P469" i="17"/>
  <c r="N469" i="17"/>
  <c r="M469" i="17"/>
  <c r="P468" i="17"/>
  <c r="O468" i="17"/>
  <c r="N468" i="17"/>
  <c r="M468" i="17"/>
  <c r="M467" i="17" s="1"/>
  <c r="L468" i="17"/>
  <c r="P467" i="17"/>
  <c r="N467" i="17"/>
  <c r="J466" i="17"/>
  <c r="I466" i="17"/>
  <c r="K466" i="17" s="1"/>
  <c r="J465" i="17"/>
  <c r="I465" i="17"/>
  <c r="K465" i="17" s="1"/>
  <c r="I464" i="17"/>
  <c r="I463" i="17"/>
  <c r="I462" i="17"/>
  <c r="K462" i="17" s="1"/>
  <c r="I460" i="17"/>
  <c r="K458" i="17"/>
  <c r="P456" i="17"/>
  <c r="L456" i="17"/>
  <c r="L454" i="17" s="1"/>
  <c r="O454" i="17" s="1"/>
  <c r="P455" i="17"/>
  <c r="O455" i="17"/>
  <c r="N454" i="17"/>
  <c r="M454" i="17"/>
  <c r="P454" i="17" s="1"/>
  <c r="P449" i="17"/>
  <c r="N449" i="17"/>
  <c r="N446" i="17" s="1"/>
  <c r="L449" i="17"/>
  <c r="L447" i="17" s="1"/>
  <c r="P448" i="17"/>
  <c r="O448" i="17"/>
  <c r="M447" i="17"/>
  <c r="P447" i="17" s="1"/>
  <c r="M446" i="17"/>
  <c r="P445" i="17"/>
  <c r="N445" i="17"/>
  <c r="N444" i="17" s="1"/>
  <c r="M445" i="17"/>
  <c r="L445" i="17"/>
  <c r="J443" i="17"/>
  <c r="J442" i="17"/>
  <c r="I441" i="17"/>
  <c r="K441" i="17" s="1"/>
  <c r="I440" i="17"/>
  <c r="I439" i="17"/>
  <c r="K439" i="17" s="1"/>
  <c r="I438" i="17"/>
  <c r="K438" i="17" s="1"/>
  <c r="I437" i="17"/>
  <c r="K437" i="17" s="1"/>
  <c r="I435" i="17"/>
  <c r="I433" i="17" s="1"/>
  <c r="J434" i="17"/>
  <c r="P431" i="17"/>
  <c r="L431" i="17"/>
  <c r="L429" i="17" s="1"/>
  <c r="O429" i="17" s="1"/>
  <c r="P430" i="17"/>
  <c r="O430" i="17"/>
  <c r="N429" i="17"/>
  <c r="M429" i="17"/>
  <c r="P429" i="17" s="1"/>
  <c r="P424" i="17"/>
  <c r="N424" i="17"/>
  <c r="N421" i="17" s="1"/>
  <c r="L424" i="17"/>
  <c r="L422" i="17" s="1"/>
  <c r="P423" i="17"/>
  <c r="O423" i="17"/>
  <c r="M422" i="17"/>
  <c r="P422" i="17" s="1"/>
  <c r="M421" i="17"/>
  <c r="P420" i="17"/>
  <c r="N420" i="17"/>
  <c r="N419" i="17" s="1"/>
  <c r="M420" i="17"/>
  <c r="L420" i="17"/>
  <c r="J418" i="17"/>
  <c r="K413" i="17"/>
  <c r="K412" i="17"/>
  <c r="N410" i="17"/>
  <c r="N408" i="17" s="1"/>
  <c r="M410" i="17"/>
  <c r="M408" i="17" s="1"/>
  <c r="P408" i="17" s="1"/>
  <c r="L410" i="17"/>
  <c r="O410" i="17" s="1"/>
  <c r="P409" i="17"/>
  <c r="O409" i="17"/>
  <c r="N407" i="17"/>
  <c r="N405" i="17" s="1"/>
  <c r="M407" i="17"/>
  <c r="M405" i="17" s="1"/>
  <c r="P405" i="17" s="1"/>
  <c r="L407" i="17"/>
  <c r="O407" i="17" s="1"/>
  <c r="P406" i="17"/>
  <c r="O406" i="17"/>
  <c r="P403" i="17"/>
  <c r="O403" i="17"/>
  <c r="N403" i="17"/>
  <c r="M403" i="17"/>
  <c r="L403" i="17"/>
  <c r="K401" i="17"/>
  <c r="J401" i="17"/>
  <c r="I401" i="17"/>
  <c r="K400" i="17"/>
  <c r="K399" i="17"/>
  <c r="N397" i="17"/>
  <c r="N395" i="17" s="1"/>
  <c r="M397" i="17"/>
  <c r="M395" i="17" s="1"/>
  <c r="P395" i="17" s="1"/>
  <c r="L397" i="17"/>
  <c r="O397" i="17" s="1"/>
  <c r="P396" i="17"/>
  <c r="O396" i="17"/>
  <c r="N394" i="17"/>
  <c r="M394" i="17"/>
  <c r="P394" i="17" s="1"/>
  <c r="L394" i="17"/>
  <c r="P393" i="17"/>
  <c r="O393" i="17"/>
  <c r="P390" i="17"/>
  <c r="N390" i="17"/>
  <c r="M390" i="17"/>
  <c r="L390" i="17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L353" i="17"/>
  <c r="L351" i="17" s="1"/>
  <c r="P352" i="17"/>
  <c r="O352" i="17"/>
  <c r="N350" i="17"/>
  <c r="N348" i="17" s="1"/>
  <c r="M350" i="17"/>
  <c r="L350" i="17"/>
  <c r="P349" i="17"/>
  <c r="O349" i="17"/>
  <c r="P346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P335" i="17"/>
  <c r="O335" i="17"/>
  <c r="N333" i="17"/>
  <c r="M333" i="17"/>
  <c r="M331" i="17" s="1"/>
  <c r="L333" i="17"/>
  <c r="P332" i="17"/>
  <c r="O332" i="17"/>
  <c r="P329" i="17"/>
  <c r="N329" i="17"/>
  <c r="M329" i="17"/>
  <c r="L329" i="17"/>
  <c r="I327" i="17"/>
  <c r="I325" i="17"/>
  <c r="K325" i="17" s="1"/>
  <c r="N323" i="17"/>
  <c r="M323" i="17"/>
  <c r="L323" i="17"/>
  <c r="O323" i="17" s="1"/>
  <c r="P322" i="17"/>
  <c r="O322" i="17"/>
  <c r="N320" i="17"/>
  <c r="N318" i="17" s="1"/>
  <c r="M320" i="17"/>
  <c r="P320" i="17" s="1"/>
  <c r="L320" i="17"/>
  <c r="P319" i="17"/>
  <c r="O319" i="17"/>
  <c r="P316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N306" i="17"/>
  <c r="N304" i="17" s="1"/>
  <c r="M306" i="17"/>
  <c r="M304" i="17" s="1"/>
  <c r="P304" i="17" s="1"/>
  <c r="L306" i="17"/>
  <c r="O306" i="17" s="1"/>
  <c r="P305" i="17"/>
  <c r="O305" i="17"/>
  <c r="N303" i="17"/>
  <c r="M303" i="17"/>
  <c r="L303" i="17"/>
  <c r="L301" i="17" s="1"/>
  <c r="O301" i="17" s="1"/>
  <c r="P302" i="17"/>
  <c r="O302" i="17"/>
  <c r="N299" i="17"/>
  <c r="M299" i="17"/>
  <c r="P299" i="17" s="1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I276" i="17" s="1"/>
  <c r="K276" i="17" s="1"/>
  <c r="N285" i="17"/>
  <c r="N283" i="17" s="1"/>
  <c r="M285" i="17"/>
  <c r="M283" i="17" s="1"/>
  <c r="P283" i="17" s="1"/>
  <c r="L285" i="17"/>
  <c r="L283" i="17" s="1"/>
  <c r="O283" i="17" s="1"/>
  <c r="P284" i="17"/>
  <c r="O284" i="17"/>
  <c r="N282" i="17"/>
  <c r="N280" i="17" s="1"/>
  <c r="M282" i="17"/>
  <c r="L282" i="17"/>
  <c r="L280" i="17" s="1"/>
  <c r="P281" i="17"/>
  <c r="O281" i="17"/>
  <c r="O278" i="17"/>
  <c r="N278" i="17"/>
  <c r="M278" i="17"/>
  <c r="L278" i="17"/>
  <c r="J276" i="17"/>
  <c r="I271" i="17"/>
  <c r="K271" i="17" s="1"/>
  <c r="N269" i="17"/>
  <c r="N267" i="17" s="1"/>
  <c r="M269" i="17"/>
  <c r="L269" i="17"/>
  <c r="L267" i="17" s="1"/>
  <c r="O267" i="17" s="1"/>
  <c r="P268" i="17"/>
  <c r="O268" i="17"/>
  <c r="N266" i="17"/>
  <c r="N264" i="17" s="1"/>
  <c r="M266" i="17"/>
  <c r="M264" i="17" s="1"/>
  <c r="L266" i="17"/>
  <c r="P265" i="17"/>
  <c r="O265" i="17"/>
  <c r="P262" i="17"/>
  <c r="O262" i="17"/>
  <c r="N262" i="17"/>
  <c r="M262" i="17"/>
  <c r="L262" i="17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J226" i="17" s="1"/>
  <c r="J180" i="17" s="1"/>
  <c r="K247" i="17"/>
  <c r="K246" i="17"/>
  <c r="I244" i="17"/>
  <c r="L242" i="17"/>
  <c r="L241" i="17"/>
  <c r="L240" i="17"/>
  <c r="L239" i="17"/>
  <c r="P238" i="17"/>
  <c r="N238" i="17"/>
  <c r="N227" i="17" s="1"/>
  <c r="J237" i="17"/>
  <c r="K236" i="17"/>
  <c r="J236" i="17"/>
  <c r="I236" i="17"/>
  <c r="J235" i="17"/>
  <c r="I235" i="17"/>
  <c r="K235" i="17" s="1"/>
  <c r="J233" i="17"/>
  <c r="N231" i="17"/>
  <c r="N230" i="17"/>
  <c r="N229" i="17"/>
  <c r="N228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I190" i="17" s="1"/>
  <c r="K190" i="17" s="1"/>
  <c r="P191" i="17"/>
  <c r="L191" i="17"/>
  <c r="O191" i="17" s="1"/>
  <c r="J190" i="17"/>
  <c r="N189" i="17"/>
  <c r="N187" i="17" s="1"/>
  <c r="M189" i="17"/>
  <c r="P189" i="17" s="1"/>
  <c r="L189" i="17"/>
  <c r="L187" i="17" s="1"/>
  <c r="O187" i="17" s="1"/>
  <c r="P188" i="17"/>
  <c r="O188" i="17"/>
  <c r="N186" i="17"/>
  <c r="N184" i="17" s="1"/>
  <c r="M186" i="17"/>
  <c r="M184" i="17" s="1"/>
  <c r="L186" i="17"/>
  <c r="L184" i="17" s="1"/>
  <c r="P185" i="17"/>
  <c r="O185" i="17"/>
  <c r="O182" i="17"/>
  <c r="N182" i="17"/>
  <c r="M182" i="17"/>
  <c r="L182" i="17"/>
  <c r="K180" i="17"/>
  <c r="J177" i="17"/>
  <c r="I176" i="17"/>
  <c r="K176" i="17" s="1"/>
  <c r="J174" i="17"/>
  <c r="N173" i="17"/>
  <c r="N171" i="17" s="1"/>
  <c r="M173" i="17"/>
  <c r="L173" i="17"/>
  <c r="O173" i="17" s="1"/>
  <c r="P172" i="17"/>
  <c r="O172" i="17"/>
  <c r="N170" i="17"/>
  <c r="N168" i="17" s="1"/>
  <c r="M170" i="17"/>
  <c r="L170" i="17"/>
  <c r="O170" i="17" s="1"/>
  <c r="P169" i="17"/>
  <c r="O169" i="17"/>
  <c r="N166" i="17"/>
  <c r="M166" i="17"/>
  <c r="P166" i="17" s="1"/>
  <c r="L166" i="17"/>
  <c r="J164" i="17"/>
  <c r="I159" i="17"/>
  <c r="I148" i="17" s="1"/>
  <c r="K148" i="17" s="1"/>
  <c r="N157" i="17"/>
  <c r="N155" i="17" s="1"/>
  <c r="M157" i="17"/>
  <c r="M155" i="17" s="1"/>
  <c r="P155" i="17" s="1"/>
  <c r="L157" i="17"/>
  <c r="L155" i="17" s="1"/>
  <c r="O155" i="17" s="1"/>
  <c r="P156" i="17"/>
  <c r="O156" i="17"/>
  <c r="N154" i="17"/>
  <c r="N152" i="17" s="1"/>
  <c r="M154" i="17"/>
  <c r="M152" i="17" s="1"/>
  <c r="P152" i="17" s="1"/>
  <c r="L154" i="17"/>
  <c r="O154" i="17" s="1"/>
  <c r="P153" i="17"/>
  <c r="O153" i="17"/>
  <c r="O150" i="17"/>
  <c r="N150" i="17"/>
  <c r="M150" i="17"/>
  <c r="P150" i="17" s="1"/>
  <c r="L150" i="17"/>
  <c r="J148" i="17"/>
  <c r="I146" i="17"/>
  <c r="I145" i="17"/>
  <c r="K145" i="17" s="1"/>
  <c r="I144" i="17"/>
  <c r="K144" i="17" s="1"/>
  <c r="N140" i="17"/>
  <c r="N138" i="17" s="1"/>
  <c r="M140" i="17"/>
  <c r="L140" i="17"/>
  <c r="P139" i="17"/>
  <c r="O139" i="17"/>
  <c r="N137" i="17"/>
  <c r="M137" i="17"/>
  <c r="M135" i="17" s="1"/>
  <c r="L137" i="17"/>
  <c r="P136" i="17"/>
  <c r="O136" i="17"/>
  <c r="N133" i="17"/>
  <c r="M133" i="17"/>
  <c r="P133" i="17" s="1"/>
  <c r="L133" i="17"/>
  <c r="O133" i="17" s="1"/>
  <c r="J130" i="17"/>
  <c r="N127" i="17"/>
  <c r="N125" i="17" s="1"/>
  <c r="M127" i="17"/>
  <c r="M125" i="17" s="1"/>
  <c r="P125" i="17" s="1"/>
  <c r="L127" i="17"/>
  <c r="O127" i="17" s="1"/>
  <c r="P126" i="17"/>
  <c r="O126" i="17"/>
  <c r="N124" i="17"/>
  <c r="N122" i="17" s="1"/>
  <c r="M124" i="17"/>
  <c r="P124" i="17" s="1"/>
  <c r="L124" i="17"/>
  <c r="P123" i="17"/>
  <c r="O123" i="17"/>
  <c r="N120" i="17"/>
  <c r="M120" i="17"/>
  <c r="P120" i="17" s="1"/>
  <c r="L120" i="17"/>
  <c r="O120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I87" i="17" s="1"/>
  <c r="K87" i="17" s="1"/>
  <c r="J98" i="17"/>
  <c r="I98" i="17"/>
  <c r="I86" i="17" s="1"/>
  <c r="K86" i="17" s="1"/>
  <c r="N96" i="17"/>
  <c r="N94" i="17" s="1"/>
  <c r="M96" i="17"/>
  <c r="L96" i="17"/>
  <c r="O96" i="17" s="1"/>
  <c r="P95" i="17"/>
  <c r="O95" i="17"/>
  <c r="N93" i="17"/>
  <c r="N91" i="17" s="1"/>
  <c r="M93" i="17"/>
  <c r="L93" i="17"/>
  <c r="L91" i="17" s="1"/>
  <c r="P92" i="17"/>
  <c r="O92" i="17"/>
  <c r="N89" i="17"/>
  <c r="M89" i="17"/>
  <c r="P89" i="17" s="1"/>
  <c r="L89" i="17"/>
  <c r="J87" i="17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J77" i="17"/>
  <c r="J76" i="17"/>
  <c r="J64" i="17" s="1"/>
  <c r="N74" i="17"/>
  <c r="N72" i="17" s="1"/>
  <c r="M74" i="17"/>
  <c r="P74" i="17" s="1"/>
  <c r="L74" i="17"/>
  <c r="P73" i="17"/>
  <c r="O73" i="17"/>
  <c r="N71" i="17"/>
  <c r="M71" i="17"/>
  <c r="M69" i="17" s="1"/>
  <c r="L71" i="17"/>
  <c r="P70" i="17"/>
  <c r="O70" i="17"/>
  <c r="N67" i="17"/>
  <c r="M67" i="17"/>
  <c r="P67" i="17" s="1"/>
  <c r="L67" i="17"/>
  <c r="O67" i="17" s="1"/>
  <c r="J65" i="17"/>
  <c r="N61" i="17"/>
  <c r="N59" i="17" s="1"/>
  <c r="M61" i="17"/>
  <c r="L61" i="17"/>
  <c r="L59" i="17" s="1"/>
  <c r="O59" i="17" s="1"/>
  <c r="P60" i="17"/>
  <c r="O60" i="17"/>
  <c r="N58" i="17"/>
  <c r="N56" i="17" s="1"/>
  <c r="M58" i="17"/>
  <c r="M56" i="17" s="1"/>
  <c r="L58" i="17"/>
  <c r="L56" i="17" s="1"/>
  <c r="P57" i="17"/>
  <c r="O57" i="17"/>
  <c r="N54" i="17"/>
  <c r="M54" i="17"/>
  <c r="P54" i="17" s="1"/>
  <c r="L54" i="17"/>
  <c r="O54" i="17" s="1"/>
  <c r="N49" i="17"/>
  <c r="N47" i="17" s="1"/>
  <c r="M49" i="17"/>
  <c r="P49" i="17" s="1"/>
  <c r="L49" i="17"/>
  <c r="L47" i="17" s="1"/>
  <c r="O47" i="17" s="1"/>
  <c r="P48" i="17"/>
  <c r="O48" i="17"/>
  <c r="N46" i="17"/>
  <c r="N44" i="17" s="1"/>
  <c r="M46" i="17"/>
  <c r="M44" i="17" s="1"/>
  <c r="L46" i="17"/>
  <c r="L44" i="17" s="1"/>
  <c r="P45" i="17"/>
  <c r="O45" i="17"/>
  <c r="N42" i="17"/>
  <c r="M42" i="17"/>
  <c r="P42" i="17" s="1"/>
  <c r="L42" i="17"/>
  <c r="O42" i="17" s="1"/>
  <c r="P36" i="17"/>
  <c r="N36" i="17"/>
  <c r="N34" i="17" s="1"/>
  <c r="M36" i="17"/>
  <c r="O35" i="17"/>
  <c r="N35" i="17"/>
  <c r="M35" i="17"/>
  <c r="P35" i="17" s="1"/>
  <c r="L35" i="17"/>
  <c r="N33" i="17"/>
  <c r="N31" i="17" s="1"/>
  <c r="M33" i="17"/>
  <c r="P33" i="17" s="1"/>
  <c r="P32" i="17"/>
  <c r="N32" i="17"/>
  <c r="M32" i="17"/>
  <c r="M31" i="17" s="1"/>
  <c r="P31" i="17" s="1"/>
  <c r="L32" i="17"/>
  <c r="O32" i="17" s="1"/>
  <c r="N30" i="17"/>
  <c r="N28" i="17" s="1"/>
  <c r="N29" i="17"/>
  <c r="M29" i="17"/>
  <c r="P29" i="17" s="1"/>
  <c r="P25" i="17"/>
  <c r="N25" i="17"/>
  <c r="M25" i="17"/>
  <c r="L25" i="17"/>
  <c r="O25" i="17" s="1"/>
  <c r="O22" i="17"/>
  <c r="N22" i="17"/>
  <c r="M22" i="17"/>
  <c r="P22" i="17" s="1"/>
  <c r="L22" i="17"/>
  <c r="N19" i="17"/>
  <c r="L19" i="17"/>
  <c r="O19" i="17" s="1"/>
  <c r="N15" i="17"/>
  <c r="M15" i="17"/>
  <c r="P15" i="17" s="1"/>
  <c r="N12" i="17"/>
  <c r="L12" i="17"/>
  <c r="O12" i="17" s="1"/>
  <c r="N9" i="17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P817" i="16"/>
  <c r="O817" i="16"/>
  <c r="P816" i="16"/>
  <c r="O816" i="16"/>
  <c r="O815" i="16"/>
  <c r="N815" i="16"/>
  <c r="M815" i="16"/>
  <c r="P815" i="16" s="1"/>
  <c r="L815" i="16"/>
  <c r="P810" i="16"/>
  <c r="O810" i="16"/>
  <c r="N810" i="16"/>
  <c r="P809" i="16"/>
  <c r="O809" i="16"/>
  <c r="O808" i="16"/>
  <c r="M808" i="16"/>
  <c r="P808" i="16" s="1"/>
  <c r="L808" i="16"/>
  <c r="P807" i="16"/>
  <c r="M807" i="16"/>
  <c r="L807" i="16"/>
  <c r="O806" i="16"/>
  <c r="N806" i="16"/>
  <c r="M806" i="16"/>
  <c r="P806" i="16" s="1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P796" i="16"/>
  <c r="N796" i="16"/>
  <c r="M796" i="16"/>
  <c r="L796" i="16"/>
  <c r="O796" i="16" s="1"/>
  <c r="P791" i="16"/>
  <c r="N791" i="16"/>
  <c r="L791" i="16"/>
  <c r="L788" i="16" s="1"/>
  <c r="P790" i="16"/>
  <c r="O790" i="16"/>
  <c r="N789" i="16"/>
  <c r="M789" i="16"/>
  <c r="P789" i="16" s="1"/>
  <c r="P788" i="16"/>
  <c r="N788" i="16"/>
  <c r="M788" i="16"/>
  <c r="O787" i="16"/>
  <c r="N787" i="16"/>
  <c r="M787" i="16"/>
  <c r="P787" i="16" s="1"/>
  <c r="L787" i="16"/>
  <c r="N786" i="16"/>
  <c r="I785" i="16"/>
  <c r="P782" i="16"/>
  <c r="O782" i="16"/>
  <c r="P781" i="16"/>
  <c r="O781" i="16"/>
  <c r="P780" i="16"/>
  <c r="N780" i="16"/>
  <c r="M780" i="16"/>
  <c r="L780" i="16"/>
  <c r="O780" i="16" s="1"/>
  <c r="P775" i="16"/>
  <c r="O775" i="16"/>
  <c r="N775" i="16"/>
  <c r="N772" i="16" s="1"/>
  <c r="P774" i="16"/>
  <c r="O774" i="16"/>
  <c r="P773" i="16"/>
  <c r="N773" i="16"/>
  <c r="M773" i="16"/>
  <c r="L773" i="16"/>
  <c r="O773" i="16" s="1"/>
  <c r="O772" i="16"/>
  <c r="M772" i="16"/>
  <c r="L772" i="16"/>
  <c r="P771" i="16"/>
  <c r="N771" i="16"/>
  <c r="N770" i="16" s="1"/>
  <c r="M771" i="16"/>
  <c r="L771" i="16"/>
  <c r="K769" i="16"/>
  <c r="J769" i="16"/>
  <c r="P766" i="16"/>
  <c r="O766" i="16"/>
  <c r="P765" i="16"/>
  <c r="O765" i="16"/>
  <c r="P764" i="16"/>
  <c r="N764" i="16"/>
  <c r="M764" i="16"/>
  <c r="L764" i="16"/>
  <c r="O764" i="16" s="1"/>
  <c r="P759" i="16"/>
  <c r="O759" i="16"/>
  <c r="N759" i="16"/>
  <c r="N756" i="16" s="1"/>
  <c r="P758" i="16"/>
  <c r="O758" i="16"/>
  <c r="P757" i="16"/>
  <c r="N757" i="16"/>
  <c r="M757" i="16"/>
  <c r="L757" i="16"/>
  <c r="O757" i="16" s="1"/>
  <c r="O756" i="16"/>
  <c r="M756" i="16"/>
  <c r="L756" i="16"/>
  <c r="P755" i="16"/>
  <c r="N755" i="16"/>
  <c r="N754" i="16" s="1"/>
  <c r="M755" i="16"/>
  <c r="L755" i="16"/>
  <c r="K753" i="16"/>
  <c r="J753" i="16"/>
  <c r="P749" i="16"/>
  <c r="O749" i="16"/>
  <c r="P748" i="16"/>
  <c r="O748" i="16"/>
  <c r="P747" i="16"/>
  <c r="N747" i="16"/>
  <c r="M747" i="16"/>
  <c r="L747" i="16"/>
  <c r="O747" i="16" s="1"/>
  <c r="P742" i="16"/>
  <c r="O742" i="16"/>
  <c r="N742" i="16"/>
  <c r="N739" i="16" s="1"/>
  <c r="P741" i="16"/>
  <c r="O741" i="16"/>
  <c r="P740" i="16"/>
  <c r="N740" i="16"/>
  <c r="M740" i="16"/>
  <c r="L740" i="16"/>
  <c r="O740" i="16" s="1"/>
  <c r="O739" i="16"/>
  <c r="M739" i="16"/>
  <c r="L739" i="16"/>
  <c r="P738" i="16"/>
  <c r="N738" i="16"/>
  <c r="M738" i="16"/>
  <c r="L738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P695" i="16"/>
  <c r="N695" i="16"/>
  <c r="M695" i="16"/>
  <c r="L695" i="16"/>
  <c r="O695" i="16" s="1"/>
  <c r="P690" i="16"/>
  <c r="N690" i="16"/>
  <c r="N688" i="16" s="1"/>
  <c r="L690" i="16"/>
  <c r="L688" i="16" s="1"/>
  <c r="O688" i="16" s="1"/>
  <c r="M688" i="16"/>
  <c r="P688" i="16" s="1"/>
  <c r="P687" i="16"/>
  <c r="N687" i="16"/>
  <c r="M687" i="16"/>
  <c r="O686" i="16"/>
  <c r="N686" i="16"/>
  <c r="M686" i="16"/>
  <c r="P686" i="16" s="1"/>
  <c r="L686" i="16"/>
  <c r="N685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3" i="16" s="1"/>
  <c r="P667" i="16"/>
  <c r="O667" i="16"/>
  <c r="P666" i="16"/>
  <c r="O666" i="16"/>
  <c r="O665" i="16"/>
  <c r="N665" i="16"/>
  <c r="M665" i="16"/>
  <c r="P665" i="16" s="1"/>
  <c r="L665" i="16"/>
  <c r="P660" i="16"/>
  <c r="N660" i="16"/>
  <c r="L660" i="16"/>
  <c r="L657" i="16" s="1"/>
  <c r="P659" i="16"/>
  <c r="O659" i="16"/>
  <c r="P658" i="16"/>
  <c r="N658" i="16"/>
  <c r="M658" i="16"/>
  <c r="L658" i="16"/>
  <c r="O658" i="16" s="1"/>
  <c r="M657" i="16"/>
  <c r="P657" i="16" s="1"/>
  <c r="P656" i="16"/>
  <c r="N656" i="16"/>
  <c r="M656" i="16"/>
  <c r="L656" i="16"/>
  <c r="M655" i="16"/>
  <c r="P655" i="16" s="1"/>
  <c r="K652" i="16"/>
  <c r="J652" i="16"/>
  <c r="J651" i="16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P640" i="16"/>
  <c r="O640" i="16"/>
  <c r="N639" i="16"/>
  <c r="M639" i="16"/>
  <c r="P639" i="16" s="1"/>
  <c r="P634" i="16"/>
  <c r="N634" i="16"/>
  <c r="L634" i="16"/>
  <c r="P633" i="16"/>
  <c r="O633" i="16"/>
  <c r="P632" i="16"/>
  <c r="N632" i="16"/>
  <c r="M632" i="16"/>
  <c r="L632" i="16"/>
  <c r="O632" i="16" s="1"/>
  <c r="M631" i="16"/>
  <c r="P631" i="16" s="1"/>
  <c r="P630" i="16"/>
  <c r="N630" i="16"/>
  <c r="M630" i="16"/>
  <c r="L630" i="16"/>
  <c r="O630" i="16" s="1"/>
  <c r="M629" i="16"/>
  <c r="P629" i="16" s="1"/>
  <c r="I628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5" i="16"/>
  <c r="J593" i="16" s="1"/>
  <c r="J594" i="16"/>
  <c r="I594" i="16"/>
  <c r="I593" i="16"/>
  <c r="I592" i="16" s="1"/>
  <c r="J583" i="16"/>
  <c r="J577" i="16" s="1"/>
  <c r="J582" i="16"/>
  <c r="I577" i="16"/>
  <c r="K577" i="16" s="1"/>
  <c r="J576" i="16"/>
  <c r="I576" i="16"/>
  <c r="I559" i="16" s="1"/>
  <c r="J569" i="16"/>
  <c r="I569" i="16"/>
  <c r="K569" i="16" s="1"/>
  <c r="J568" i="16"/>
  <c r="I568" i="16"/>
  <c r="J561" i="16"/>
  <c r="I561" i="16"/>
  <c r="K561" i="16" s="1"/>
  <c r="J560" i="16"/>
  <c r="I560" i="16"/>
  <c r="P557" i="16"/>
  <c r="L557" i="16"/>
  <c r="O557" i="16" s="1"/>
  <c r="P556" i="16"/>
  <c r="O556" i="16"/>
  <c r="P555" i="16"/>
  <c r="N555" i="16"/>
  <c r="N545" i="16" s="1"/>
  <c r="N544" i="16" s="1"/>
  <c r="M555" i="16"/>
  <c r="L555" i="16"/>
  <c r="O555" i="16" s="1"/>
  <c r="P549" i="16"/>
  <c r="N549" i="16"/>
  <c r="L549" i="16"/>
  <c r="L547" i="16" s="1"/>
  <c r="O547" i="16" s="1"/>
  <c r="P548" i="16"/>
  <c r="O548" i="16"/>
  <c r="N547" i="16"/>
  <c r="M547" i="16"/>
  <c r="P547" i="16" s="1"/>
  <c r="P546" i="16"/>
  <c r="N546" i="16"/>
  <c r="M546" i="16"/>
  <c r="O545" i="16"/>
  <c r="M545" i="16"/>
  <c r="L545" i="16"/>
  <c r="I542" i="16"/>
  <c r="K542" i="16" s="1"/>
  <c r="I541" i="16"/>
  <c r="K541" i="16" s="1"/>
  <c r="I540" i="16"/>
  <c r="K540" i="16" s="1"/>
  <c r="I539" i="16"/>
  <c r="K539" i="16" s="1"/>
  <c r="I538" i="16"/>
  <c r="I537" i="16"/>
  <c r="I522" i="16" s="1"/>
  <c r="K522" i="16" s="1"/>
  <c r="P535" i="16"/>
  <c r="L535" i="16"/>
  <c r="O535" i="16" s="1"/>
  <c r="P534" i="16"/>
  <c r="O534" i="16"/>
  <c r="P533" i="16"/>
  <c r="N533" i="16"/>
  <c r="M533" i="16"/>
  <c r="L533" i="16"/>
  <c r="O533" i="16" s="1"/>
  <c r="P528" i="16"/>
  <c r="N528" i="16"/>
  <c r="L528" i="16"/>
  <c r="P527" i="16"/>
  <c r="O527" i="16"/>
  <c r="N526" i="16"/>
  <c r="M526" i="16"/>
  <c r="P526" i="16" s="1"/>
  <c r="P525" i="16"/>
  <c r="N525" i="16"/>
  <c r="M525" i="16"/>
  <c r="O524" i="16"/>
  <c r="N524" i="16"/>
  <c r="M524" i="16"/>
  <c r="P524" i="16" s="1"/>
  <c r="L524" i="16"/>
  <c r="N523" i="16"/>
  <c r="K517" i="16"/>
  <c r="J517" i="16"/>
  <c r="K516" i="16"/>
  <c r="P514" i="16"/>
  <c r="O514" i="16"/>
  <c r="P513" i="16"/>
  <c r="O513" i="16"/>
  <c r="O512" i="16"/>
  <c r="N512" i="16"/>
  <c r="M512" i="16"/>
  <c r="P512" i="16" s="1"/>
  <c r="L512" i="16"/>
  <c r="P507" i="16"/>
  <c r="O507" i="16"/>
  <c r="N507" i="16"/>
  <c r="N505" i="16" s="1"/>
  <c r="P506" i="16"/>
  <c r="O506" i="16"/>
  <c r="O505" i="16"/>
  <c r="M505" i="16"/>
  <c r="P505" i="16" s="1"/>
  <c r="L505" i="16"/>
  <c r="P504" i="16"/>
  <c r="N504" i="16"/>
  <c r="M504" i="16"/>
  <c r="L504" i="16"/>
  <c r="O504" i="16" s="1"/>
  <c r="O503" i="16"/>
  <c r="N503" i="16"/>
  <c r="M503" i="16"/>
  <c r="M502" i="16" s="1"/>
  <c r="P502" i="16" s="1"/>
  <c r="L503" i="16"/>
  <c r="N502" i="16"/>
  <c r="L502" i="16"/>
  <c r="O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P477" i="16"/>
  <c r="N477" i="16"/>
  <c r="M477" i="16"/>
  <c r="L477" i="16"/>
  <c r="O477" i="16" s="1"/>
  <c r="P472" i="16"/>
  <c r="N472" i="16"/>
  <c r="L472" i="16"/>
  <c r="L470" i="16" s="1"/>
  <c r="O470" i="16" s="1"/>
  <c r="P471" i="16"/>
  <c r="O471" i="16"/>
  <c r="N470" i="16"/>
  <c r="M470" i="16"/>
  <c r="P470" i="16" s="1"/>
  <c r="P469" i="16"/>
  <c r="N469" i="16"/>
  <c r="M469" i="16"/>
  <c r="O468" i="16"/>
  <c r="N468" i="16"/>
  <c r="M468" i="16"/>
  <c r="M467" i="16" s="1"/>
  <c r="P467" i="16" s="1"/>
  <c r="L468" i="16"/>
  <c r="N467" i="16"/>
  <c r="J466" i="16"/>
  <c r="I466" i="16"/>
  <c r="J465" i="16"/>
  <c r="I465" i="16"/>
  <c r="K465" i="16" s="1"/>
  <c r="I464" i="16"/>
  <c r="I463" i="16"/>
  <c r="I462" i="16"/>
  <c r="K462" i="16" s="1"/>
  <c r="I460" i="16"/>
  <c r="K460" i="16" s="1"/>
  <c r="K458" i="16"/>
  <c r="P456" i="16"/>
  <c r="L456" i="16"/>
  <c r="P455" i="16"/>
  <c r="O455" i="16"/>
  <c r="N454" i="16"/>
  <c r="M454" i="16"/>
  <c r="P454" i="16" s="1"/>
  <c r="P449" i="16"/>
  <c r="N449" i="16"/>
  <c r="L449" i="16"/>
  <c r="L447" i="16" s="1"/>
  <c r="O447" i="16" s="1"/>
  <c r="P448" i="16"/>
  <c r="O448" i="16"/>
  <c r="P447" i="16"/>
  <c r="N447" i="16"/>
  <c r="M447" i="16"/>
  <c r="M446" i="16"/>
  <c r="P446" i="16" s="1"/>
  <c r="P445" i="16"/>
  <c r="N445" i="16"/>
  <c r="M445" i="16"/>
  <c r="L445" i="16"/>
  <c r="O445" i="16" s="1"/>
  <c r="M444" i="16"/>
  <c r="P444" i="16" s="1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J434" i="16"/>
  <c r="P431" i="16"/>
  <c r="L431" i="16"/>
  <c r="P430" i="16"/>
  <c r="O430" i="16"/>
  <c r="N429" i="16"/>
  <c r="M429" i="16"/>
  <c r="P429" i="16" s="1"/>
  <c r="P424" i="16"/>
  <c r="N424" i="16"/>
  <c r="L424" i="16"/>
  <c r="L422" i="16" s="1"/>
  <c r="P423" i="16"/>
  <c r="O423" i="16"/>
  <c r="P422" i="16"/>
  <c r="N422" i="16"/>
  <c r="M422" i="16"/>
  <c r="M421" i="16"/>
  <c r="P421" i="16" s="1"/>
  <c r="P420" i="16"/>
  <c r="N420" i="16"/>
  <c r="M420" i="16"/>
  <c r="L420" i="16"/>
  <c r="M419" i="16"/>
  <c r="J418" i="16"/>
  <c r="K413" i="16"/>
  <c r="K412" i="16"/>
  <c r="N410" i="16"/>
  <c r="N408" i="16" s="1"/>
  <c r="M410" i="16"/>
  <c r="L410" i="16"/>
  <c r="O410" i="16" s="1"/>
  <c r="P409" i="16"/>
  <c r="O409" i="16"/>
  <c r="N407" i="16"/>
  <c r="N405" i="16" s="1"/>
  <c r="M407" i="16"/>
  <c r="L407" i="16"/>
  <c r="P406" i="16"/>
  <c r="O406" i="16"/>
  <c r="P403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L397" i="16"/>
  <c r="P396" i="16"/>
  <c r="O396" i="16"/>
  <c r="N394" i="16"/>
  <c r="M394" i="16"/>
  <c r="L394" i="16"/>
  <c r="O394" i="16" s="1"/>
  <c r="P393" i="16"/>
  <c r="O393" i="16"/>
  <c r="P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L353" i="16"/>
  <c r="L351" i="16" s="1"/>
  <c r="P352" i="16"/>
  <c r="O352" i="16"/>
  <c r="N350" i="16"/>
  <c r="M350" i="16"/>
  <c r="L350" i="16"/>
  <c r="L348" i="16" s="1"/>
  <c r="P349" i="16"/>
  <c r="O349" i="16"/>
  <c r="P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L336" i="16"/>
  <c r="L334" i="16" s="1"/>
  <c r="O334" i="16" s="1"/>
  <c r="P335" i="16"/>
  <c r="O335" i="16"/>
  <c r="N333" i="16"/>
  <c r="M333" i="16"/>
  <c r="L333" i="16"/>
  <c r="P332" i="16"/>
  <c r="O332" i="16"/>
  <c r="P329" i="16"/>
  <c r="N329" i="16"/>
  <c r="M329" i="16"/>
  <c r="L329" i="16"/>
  <c r="I327" i="16"/>
  <c r="I325" i="16"/>
  <c r="K325" i="16" s="1"/>
  <c r="N323" i="16"/>
  <c r="M323" i="16"/>
  <c r="P323" i="16" s="1"/>
  <c r="L323" i="16"/>
  <c r="P322" i="16"/>
  <c r="O322" i="16"/>
  <c r="N320" i="16"/>
  <c r="N318" i="16" s="1"/>
  <c r="M320" i="16"/>
  <c r="L320" i="16"/>
  <c r="O320" i="16" s="1"/>
  <c r="P319" i="16"/>
  <c r="O319" i="16"/>
  <c r="P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L306" i="16"/>
  <c r="P305" i="16"/>
  <c r="O305" i="16"/>
  <c r="N303" i="16"/>
  <c r="M303" i="16"/>
  <c r="L303" i="16"/>
  <c r="L301" i="16" s="1"/>
  <c r="P302" i="16"/>
  <c r="O302" i="16"/>
  <c r="P299" i="16"/>
  <c r="N299" i="16"/>
  <c r="M299" i="16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N285" i="16"/>
  <c r="N283" i="16" s="1"/>
  <c r="M285" i="16"/>
  <c r="P285" i="16" s="1"/>
  <c r="L285" i="16"/>
  <c r="L283" i="16" s="1"/>
  <c r="O283" i="16" s="1"/>
  <c r="P284" i="16"/>
  <c r="O284" i="16"/>
  <c r="N282" i="16"/>
  <c r="N280" i="16" s="1"/>
  <c r="M282" i="16"/>
  <c r="L282" i="16"/>
  <c r="P281" i="16"/>
  <c r="O281" i="16"/>
  <c r="O278" i="16"/>
  <c r="N278" i="16"/>
  <c r="M278" i="16"/>
  <c r="P278" i="16" s="1"/>
  <c r="L278" i="16"/>
  <c r="J276" i="16"/>
  <c r="I271" i="16"/>
  <c r="K271" i="16" s="1"/>
  <c r="N269" i="16"/>
  <c r="N267" i="16" s="1"/>
  <c r="M269" i="16"/>
  <c r="L269" i="16"/>
  <c r="O269" i="16" s="1"/>
  <c r="P268" i="16"/>
  <c r="O268" i="16"/>
  <c r="N266" i="16"/>
  <c r="M266" i="16"/>
  <c r="M264" i="16" s="1"/>
  <c r="L266" i="16"/>
  <c r="P265" i="16"/>
  <c r="O265" i="16"/>
  <c r="P262" i="16"/>
  <c r="N262" i="16"/>
  <c r="M262" i="16"/>
  <c r="L262" i="16"/>
  <c r="O262" i="16" s="1"/>
  <c r="J260" i="16"/>
  <c r="K258" i="16"/>
  <c r="K257" i="16"/>
  <c r="I255" i="16"/>
  <c r="K255" i="16" s="1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N227" i="16" s="1"/>
  <c r="J237" i="16"/>
  <c r="J236" i="16"/>
  <c r="I236" i="16"/>
  <c r="K236" i="16" s="1"/>
  <c r="K235" i="16"/>
  <c r="J235" i="16"/>
  <c r="I235" i="16"/>
  <c r="J233" i="16"/>
  <c r="N231" i="16"/>
  <c r="N230" i="16"/>
  <c r="N229" i="16"/>
  <c r="N228" i="16"/>
  <c r="J226" i="16"/>
  <c r="I225" i="16"/>
  <c r="K225" i="16" s="1"/>
  <c r="I224" i="16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N184" i="16" s="1"/>
  <c r="M186" i="16"/>
  <c r="L186" i="16"/>
  <c r="L184" i="16" s="1"/>
  <c r="P185" i="16"/>
  <c r="O185" i="16"/>
  <c r="P182" i="16"/>
  <c r="N182" i="16"/>
  <c r="M182" i="16"/>
  <c r="L182" i="16"/>
  <c r="K180" i="16"/>
  <c r="J180" i="16"/>
  <c r="J177" i="16"/>
  <c r="I176" i="16"/>
  <c r="K176" i="16" s="1"/>
  <c r="J174" i="16"/>
  <c r="J164" i="16" s="1"/>
  <c r="N173" i="16"/>
  <c r="N171" i="16" s="1"/>
  <c r="M173" i="16"/>
  <c r="P173" i="16" s="1"/>
  <c r="L173" i="16"/>
  <c r="O173" i="16" s="1"/>
  <c r="P172" i="16"/>
  <c r="O172" i="16"/>
  <c r="N170" i="16"/>
  <c r="N168" i="16" s="1"/>
  <c r="M170" i="16"/>
  <c r="M168" i="16" s="1"/>
  <c r="L170" i="16"/>
  <c r="L168" i="16" s="1"/>
  <c r="P169" i="16"/>
  <c r="O169" i="16"/>
  <c r="O166" i="16"/>
  <c r="N166" i="16"/>
  <c r="M166" i="16"/>
  <c r="L166" i="16"/>
  <c r="I159" i="16"/>
  <c r="K159" i="16" s="1"/>
  <c r="N157" i="16"/>
  <c r="N155" i="16" s="1"/>
  <c r="M157" i="16"/>
  <c r="P157" i="16" s="1"/>
  <c r="L157" i="16"/>
  <c r="O157" i="16" s="1"/>
  <c r="P156" i="16"/>
  <c r="O156" i="16"/>
  <c r="N154" i="16"/>
  <c r="N152" i="16" s="1"/>
  <c r="M154" i="16"/>
  <c r="P154" i="16" s="1"/>
  <c r="L154" i="16"/>
  <c r="O154" i="16" s="1"/>
  <c r="P153" i="16"/>
  <c r="O153" i="16"/>
  <c r="O150" i="16"/>
  <c r="N150" i="16"/>
  <c r="M150" i="16"/>
  <c r="P150" i="16" s="1"/>
  <c r="L150" i="16"/>
  <c r="J148" i="16"/>
  <c r="I146" i="16"/>
  <c r="K146" i="16" s="1"/>
  <c r="I145" i="16"/>
  <c r="K145" i="16" s="1"/>
  <c r="I144" i="16"/>
  <c r="N140" i="16"/>
  <c r="N138" i="16" s="1"/>
  <c r="M140" i="16"/>
  <c r="L140" i="16"/>
  <c r="O140" i="16" s="1"/>
  <c r="P139" i="16"/>
  <c r="O139" i="16"/>
  <c r="N137" i="16"/>
  <c r="N135" i="16" s="1"/>
  <c r="M137" i="16"/>
  <c r="L137" i="16"/>
  <c r="O137" i="16" s="1"/>
  <c r="P136" i="16"/>
  <c r="O136" i="16"/>
  <c r="P133" i="16"/>
  <c r="N133" i="16"/>
  <c r="M133" i="16"/>
  <c r="L133" i="16"/>
  <c r="O133" i="16" s="1"/>
  <c r="J130" i="16"/>
  <c r="N127" i="16"/>
  <c r="N125" i="16" s="1"/>
  <c r="M127" i="16"/>
  <c r="P127" i="16" s="1"/>
  <c r="L127" i="16"/>
  <c r="L125" i="16" s="1"/>
  <c r="O125" i="16" s="1"/>
  <c r="P126" i="16"/>
  <c r="O126" i="16"/>
  <c r="N124" i="16"/>
  <c r="N122" i="16" s="1"/>
  <c r="M124" i="16"/>
  <c r="M122" i="16" s="1"/>
  <c r="P122" i="16" s="1"/>
  <c r="L124" i="16"/>
  <c r="O124" i="16" s="1"/>
  <c r="P123" i="16"/>
  <c r="O123" i="16"/>
  <c r="N120" i="16"/>
  <c r="M120" i="16"/>
  <c r="L120" i="16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I99" i="16"/>
  <c r="I87" i="16" s="1"/>
  <c r="J98" i="16"/>
  <c r="I98" i="16"/>
  <c r="K98" i="16" s="1"/>
  <c r="N96" i="16"/>
  <c r="N94" i="16" s="1"/>
  <c r="M96" i="16"/>
  <c r="L96" i="16"/>
  <c r="O96" i="16" s="1"/>
  <c r="P95" i="16"/>
  <c r="O95" i="16"/>
  <c r="N93" i="16"/>
  <c r="N91" i="16" s="1"/>
  <c r="M93" i="16"/>
  <c r="M91" i="16" s="1"/>
  <c r="L93" i="16"/>
  <c r="P92" i="16"/>
  <c r="O92" i="16"/>
  <c r="O89" i="16"/>
  <c r="N89" i="16"/>
  <c r="M89" i="16"/>
  <c r="P89" i="16" s="1"/>
  <c r="L89" i="16"/>
  <c r="J86" i="16"/>
  <c r="I84" i="16"/>
  <c r="K84" i="16" s="1"/>
  <c r="I83" i="16"/>
  <c r="K83" i="16" s="1"/>
  <c r="I82" i="16"/>
  <c r="K82" i="16" s="1"/>
  <c r="I81" i="16"/>
  <c r="I80" i="16"/>
  <c r="K80" i="16" s="1"/>
  <c r="I79" i="16"/>
  <c r="K79" i="16" s="1"/>
  <c r="I78" i="16"/>
  <c r="K78" i="16" s="1"/>
  <c r="J77" i="16"/>
  <c r="J65" i="16" s="1"/>
  <c r="J76" i="16"/>
  <c r="N74" i="16"/>
  <c r="N72" i="16" s="1"/>
  <c r="M74" i="16"/>
  <c r="M72" i="16" s="1"/>
  <c r="P72" i="16" s="1"/>
  <c r="L74" i="16"/>
  <c r="O74" i="16" s="1"/>
  <c r="P73" i="16"/>
  <c r="O73" i="16"/>
  <c r="N71" i="16"/>
  <c r="N69" i="16" s="1"/>
  <c r="M71" i="16"/>
  <c r="M69" i="16" s="1"/>
  <c r="P69" i="16" s="1"/>
  <c r="L71" i="16"/>
  <c r="L69" i="16" s="1"/>
  <c r="O69" i="16" s="1"/>
  <c r="P70" i="16"/>
  <c r="O70" i="16"/>
  <c r="P67" i="16"/>
  <c r="N67" i="16"/>
  <c r="M67" i="16"/>
  <c r="L67" i="16"/>
  <c r="J64" i="16"/>
  <c r="N61" i="16"/>
  <c r="M61" i="16"/>
  <c r="L61" i="16"/>
  <c r="L59" i="16" s="1"/>
  <c r="P60" i="16"/>
  <c r="O60" i="16"/>
  <c r="N58" i="16"/>
  <c r="N56" i="16" s="1"/>
  <c r="M58" i="16"/>
  <c r="M56" i="16" s="1"/>
  <c r="L58" i="16"/>
  <c r="L56" i="16" s="1"/>
  <c r="P57" i="16"/>
  <c r="O57" i="16"/>
  <c r="P54" i="16"/>
  <c r="N54" i="16"/>
  <c r="M54" i="16"/>
  <c r="L54" i="16"/>
  <c r="N49" i="16"/>
  <c r="N47" i="16" s="1"/>
  <c r="M49" i="16"/>
  <c r="P49" i="16" s="1"/>
  <c r="L49" i="16"/>
  <c r="O49" i="16" s="1"/>
  <c r="P48" i="16"/>
  <c r="O48" i="16"/>
  <c r="N46" i="16"/>
  <c r="N44" i="16" s="1"/>
  <c r="M46" i="16"/>
  <c r="L46" i="16"/>
  <c r="L44" i="16" s="1"/>
  <c r="P45" i="16"/>
  <c r="O45" i="16"/>
  <c r="O42" i="16"/>
  <c r="N42" i="16"/>
  <c r="M42" i="16"/>
  <c r="P42" i="16" s="1"/>
  <c r="L42" i="16"/>
  <c r="P36" i="16"/>
  <c r="N36" i="16"/>
  <c r="N34" i="16" s="1"/>
  <c r="M36" i="16"/>
  <c r="O35" i="16"/>
  <c r="N35" i="16"/>
  <c r="M35" i="16"/>
  <c r="M34" i="16" s="1"/>
  <c r="P34" i="16" s="1"/>
  <c r="L35" i="16"/>
  <c r="N33" i="16"/>
  <c r="M33" i="16"/>
  <c r="N32" i="16"/>
  <c r="M32" i="16"/>
  <c r="M31" i="16" s="1"/>
  <c r="P31" i="16" s="1"/>
  <c r="L32" i="16"/>
  <c r="L12" i="16" s="1"/>
  <c r="N30" i="16"/>
  <c r="P25" i="16"/>
  <c r="N25" i="16"/>
  <c r="N19" i="16" s="1"/>
  <c r="M25" i="16"/>
  <c r="L25" i="16"/>
  <c r="O22" i="16"/>
  <c r="N22" i="16"/>
  <c r="M22" i="16"/>
  <c r="M12" i="16" s="1"/>
  <c r="L22" i="16"/>
  <c r="M19" i="16"/>
  <c r="L19" i="16"/>
  <c r="O19" i="16" s="1"/>
  <c r="N12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N807" i="15" s="1"/>
  <c r="N805" i="15" s="1"/>
  <c r="P809" i="15"/>
  <c r="O809" i="15"/>
  <c r="O808" i="15"/>
  <c r="N808" i="15"/>
  <c r="M808" i="15"/>
  <c r="P808" i="15" s="1"/>
  <c r="L808" i="15"/>
  <c r="M807" i="15"/>
  <c r="P807" i="15" s="1"/>
  <c r="L807" i="15"/>
  <c r="O807" i="15" s="1"/>
  <c r="N806" i="15"/>
  <c r="M806" i="15"/>
  <c r="P806" i="15" s="1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N788" i="15" s="1"/>
  <c r="N786" i="15" s="1"/>
  <c r="L791" i="15"/>
  <c r="P790" i="15"/>
  <c r="O790" i="15"/>
  <c r="N789" i="15"/>
  <c r="M789" i="15"/>
  <c r="P789" i="15" s="1"/>
  <c r="M788" i="15"/>
  <c r="P788" i="15" s="1"/>
  <c r="L788" i="15"/>
  <c r="O788" i="15" s="1"/>
  <c r="N787" i="15"/>
  <c r="M787" i="15"/>
  <c r="P787" i="15" s="1"/>
  <c r="L787" i="15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P774" i="15"/>
  <c r="O774" i="15"/>
  <c r="P773" i="15"/>
  <c r="O773" i="15"/>
  <c r="N773" i="15"/>
  <c r="M773" i="15"/>
  <c r="L773" i="15"/>
  <c r="O772" i="15"/>
  <c r="N772" i="15"/>
  <c r="M772" i="15"/>
  <c r="P772" i="15" s="1"/>
  <c r="L772" i="15"/>
  <c r="N771" i="15"/>
  <c r="M771" i="15"/>
  <c r="L771" i="15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P758" i="15"/>
  <c r="O758" i="15"/>
  <c r="P757" i="15"/>
  <c r="O757" i="15"/>
  <c r="N757" i="15"/>
  <c r="M757" i="15"/>
  <c r="L757" i="15"/>
  <c r="O756" i="15"/>
  <c r="N756" i="15"/>
  <c r="M756" i="15"/>
  <c r="P756" i="15" s="1"/>
  <c r="L756" i="15"/>
  <c r="N755" i="15"/>
  <c r="N754" i="15" s="1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P741" i="15"/>
  <c r="O741" i="15"/>
  <c r="P740" i="15"/>
  <c r="O740" i="15"/>
  <c r="N740" i="15"/>
  <c r="M740" i="15"/>
  <c r="L740" i="15"/>
  <c r="O739" i="15"/>
  <c r="N739" i="15"/>
  <c r="M739" i="15"/>
  <c r="P739" i="15" s="1"/>
  <c r="L739" i="15"/>
  <c r="N738" i="15"/>
  <c r="N737" i="15" s="1"/>
  <c r="M738" i="15"/>
  <c r="L738" i="15"/>
  <c r="O738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L690" i="15"/>
  <c r="N688" i="15"/>
  <c r="M688" i="15"/>
  <c r="P688" i="15" s="1"/>
  <c r="N687" i="15"/>
  <c r="N685" i="15" s="1"/>
  <c r="M687" i="15"/>
  <c r="P687" i="15" s="1"/>
  <c r="N686" i="15"/>
  <c r="M686" i="15"/>
  <c r="P686" i="15" s="1"/>
  <c r="L686" i="15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5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L660" i="15"/>
  <c r="L657" i="15" s="1"/>
  <c r="P659" i="15"/>
  <c r="O659" i="15"/>
  <c r="P658" i="15"/>
  <c r="N658" i="15"/>
  <c r="M658" i="15"/>
  <c r="L658" i="15"/>
  <c r="O658" i="15" s="1"/>
  <c r="P657" i="15"/>
  <c r="N657" i="15"/>
  <c r="M657" i="15"/>
  <c r="P656" i="15"/>
  <c r="O656" i="15"/>
  <c r="N656" i="15"/>
  <c r="M656" i="15"/>
  <c r="L656" i="15"/>
  <c r="N655" i="15"/>
  <c r="M655" i="15"/>
  <c r="P655" i="15" s="1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N639" i="15"/>
  <c r="M639" i="15"/>
  <c r="P639" i="15" s="1"/>
  <c r="P634" i="15"/>
  <c r="N634" i="15"/>
  <c r="N631" i="15" s="1"/>
  <c r="N629" i="15" s="1"/>
  <c r="L634" i="15"/>
  <c r="O634" i="15" s="1"/>
  <c r="P633" i="15"/>
  <c r="O633" i="15"/>
  <c r="N632" i="15"/>
  <c r="M632" i="15"/>
  <c r="P632" i="15" s="1"/>
  <c r="M631" i="15"/>
  <c r="P631" i="15" s="1"/>
  <c r="P630" i="15"/>
  <c r="N630" i="15"/>
  <c r="M630" i="15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4" i="15"/>
  <c r="I594" i="15"/>
  <c r="K594" i="15" s="1"/>
  <c r="I593" i="15"/>
  <c r="I592" i="15" s="1"/>
  <c r="K592" i="15" s="1"/>
  <c r="J592" i="15"/>
  <c r="J583" i="15"/>
  <c r="J582" i="15"/>
  <c r="J577" i="15"/>
  <c r="I577" i="15"/>
  <c r="K577" i="15" s="1"/>
  <c r="J576" i="15"/>
  <c r="I576" i="15"/>
  <c r="K576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O557" i="15" s="1"/>
  <c r="P556" i="15"/>
  <c r="O556" i="15"/>
  <c r="P555" i="15"/>
  <c r="N555" i="15"/>
  <c r="M555" i="15"/>
  <c r="L555" i="15"/>
  <c r="O555" i="15" s="1"/>
  <c r="P549" i="15"/>
  <c r="N549" i="15"/>
  <c r="L549" i="15"/>
  <c r="P548" i="15"/>
  <c r="O548" i="15"/>
  <c r="P547" i="15"/>
  <c r="N547" i="15"/>
  <c r="M547" i="15"/>
  <c r="P546" i="15"/>
  <c r="N546" i="15"/>
  <c r="M546" i="15"/>
  <c r="O545" i="15"/>
  <c r="N545" i="15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I522" i="15" s="1"/>
  <c r="K522" i="15" s="1"/>
  <c r="P535" i="15"/>
  <c r="L535" i="15"/>
  <c r="L533" i="15" s="1"/>
  <c r="O533" i="15" s="1"/>
  <c r="P534" i="15"/>
  <c r="O534" i="15"/>
  <c r="P533" i="15"/>
  <c r="N533" i="15"/>
  <c r="M533" i="15"/>
  <c r="P528" i="15"/>
  <c r="N528" i="15"/>
  <c r="N525" i="15" s="1"/>
  <c r="N523" i="15" s="1"/>
  <c r="L528" i="15"/>
  <c r="P527" i="15"/>
  <c r="O527" i="15"/>
  <c r="N526" i="15"/>
  <c r="M526" i="15"/>
  <c r="P526" i="15" s="1"/>
  <c r="M525" i="15"/>
  <c r="P525" i="15" s="1"/>
  <c r="N524" i="15"/>
  <c r="M524" i="15"/>
  <c r="P524" i="15" s="1"/>
  <c r="L524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N504" i="15" s="1"/>
  <c r="N502" i="15" s="1"/>
  <c r="P506" i="15"/>
  <c r="O506" i="15"/>
  <c r="M505" i="15"/>
  <c r="P505" i="15" s="1"/>
  <c r="L505" i="15"/>
  <c r="O505" i="15" s="1"/>
  <c r="P504" i="15"/>
  <c r="M504" i="15"/>
  <c r="L504" i="15"/>
  <c r="O504" i="15" s="1"/>
  <c r="P503" i="15"/>
  <c r="O503" i="15"/>
  <c r="N503" i="15"/>
  <c r="M503" i="15"/>
  <c r="L503" i="15"/>
  <c r="P502" i="15"/>
  <c r="M502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N477" i="15"/>
  <c r="M477" i="15"/>
  <c r="P477" i="15" s="1"/>
  <c r="P472" i="15"/>
  <c r="N472" i="15"/>
  <c r="L472" i="15"/>
  <c r="O472" i="15" s="1"/>
  <c r="P471" i="15"/>
  <c r="O471" i="15"/>
  <c r="N470" i="15"/>
  <c r="M470" i="15"/>
  <c r="P470" i="15" s="1"/>
  <c r="P469" i="15"/>
  <c r="N469" i="15"/>
  <c r="M469" i="15"/>
  <c r="P468" i="15"/>
  <c r="O468" i="15"/>
  <c r="N468" i="15"/>
  <c r="M468" i="15"/>
  <c r="L468" i="15"/>
  <c r="P467" i="15"/>
  <c r="N467" i="15"/>
  <c r="M467" i="15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I442" i="15" s="1"/>
  <c r="K442" i="15" s="1"/>
  <c r="K458" i="15"/>
  <c r="P456" i="15"/>
  <c r="L456" i="15"/>
  <c r="L454" i="15" s="1"/>
  <c r="O454" i="15" s="1"/>
  <c r="P455" i="15"/>
  <c r="O455" i="15"/>
  <c r="N454" i="15"/>
  <c r="M454" i="15"/>
  <c r="P454" i="15" s="1"/>
  <c r="P449" i="15"/>
  <c r="N449" i="15"/>
  <c r="N446" i="15" s="1"/>
  <c r="N444" i="15" s="1"/>
  <c r="L449" i="15"/>
  <c r="O449" i="15" s="1"/>
  <c r="P448" i="15"/>
  <c r="O448" i="15"/>
  <c r="N447" i="15"/>
  <c r="M447" i="15"/>
  <c r="P447" i="15" s="1"/>
  <c r="M446" i="15"/>
  <c r="P446" i="15" s="1"/>
  <c r="P445" i="15"/>
  <c r="N445" i="15"/>
  <c r="M445" i="15"/>
  <c r="L445" i="15"/>
  <c r="O445" i="15" s="1"/>
  <c r="J443" i="15"/>
  <c r="J442" i="15"/>
  <c r="I441" i="15"/>
  <c r="K441" i="15" s="1"/>
  <c r="I440" i="15"/>
  <c r="I439" i="15"/>
  <c r="K439" i="15" s="1"/>
  <c r="I438" i="15"/>
  <c r="K438" i="15" s="1"/>
  <c r="I437" i="15"/>
  <c r="K437" i="15" s="1"/>
  <c r="I435" i="15"/>
  <c r="J434" i="15"/>
  <c r="J418" i="15" s="1"/>
  <c r="P431" i="15"/>
  <c r="L431" i="15"/>
  <c r="L429" i="15" s="1"/>
  <c r="O429" i="15" s="1"/>
  <c r="P430" i="15"/>
  <c r="O430" i="15"/>
  <c r="N429" i="15"/>
  <c r="M429" i="15"/>
  <c r="P429" i="15" s="1"/>
  <c r="P424" i="15"/>
  <c r="N424" i="15"/>
  <c r="N421" i="15" s="1"/>
  <c r="L424" i="15"/>
  <c r="O424" i="15" s="1"/>
  <c r="P423" i="15"/>
  <c r="O423" i="15"/>
  <c r="N422" i="15"/>
  <c r="M422" i="15"/>
  <c r="P422" i="15" s="1"/>
  <c r="M421" i="15"/>
  <c r="P421" i="15" s="1"/>
  <c r="P420" i="15"/>
  <c r="N420" i="15"/>
  <c r="N419" i="15" s="1"/>
  <c r="M420" i="15"/>
  <c r="L420" i="15"/>
  <c r="O420" i="15" s="1"/>
  <c r="K413" i="15"/>
  <c r="K412" i="15"/>
  <c r="N410" i="15"/>
  <c r="N408" i="15" s="1"/>
  <c r="M410" i="15"/>
  <c r="M408" i="15" s="1"/>
  <c r="P408" i="15" s="1"/>
  <c r="L410" i="15"/>
  <c r="O410" i="15" s="1"/>
  <c r="P409" i="15"/>
  <c r="O409" i="15"/>
  <c r="N407" i="15"/>
  <c r="N405" i="15" s="1"/>
  <c r="M407" i="15"/>
  <c r="L407" i="15"/>
  <c r="O407" i="15" s="1"/>
  <c r="P406" i="15"/>
  <c r="O406" i="15"/>
  <c r="P403" i="15"/>
  <c r="O403" i="15"/>
  <c r="N403" i="15"/>
  <c r="M403" i="15"/>
  <c r="L403" i="15"/>
  <c r="J401" i="15"/>
  <c r="I401" i="15"/>
  <c r="K401" i="15" s="1"/>
  <c r="K400" i="15"/>
  <c r="K399" i="15"/>
  <c r="N397" i="15"/>
  <c r="N395" i="15" s="1"/>
  <c r="M397" i="15"/>
  <c r="L397" i="15"/>
  <c r="O397" i="15" s="1"/>
  <c r="P396" i="15"/>
  <c r="O396" i="15"/>
  <c r="N394" i="15"/>
  <c r="M394" i="15"/>
  <c r="P394" i="15" s="1"/>
  <c r="L394" i="15"/>
  <c r="O394" i="15" s="1"/>
  <c r="P393" i="15"/>
  <c r="O393" i="15"/>
  <c r="P390" i="15"/>
  <c r="N390" i="15"/>
  <c r="M390" i="15"/>
  <c r="L390" i="15"/>
  <c r="O390" i="15" s="1"/>
  <c r="J388" i="15"/>
  <c r="I388" i="15"/>
  <c r="K388" i="15" s="1"/>
  <c r="J385" i="15"/>
  <c r="I385" i="15"/>
  <c r="K382" i="15"/>
  <c r="J382" i="15"/>
  <c r="J381" i="15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N348" i="15" s="1"/>
  <c r="M350" i="15"/>
  <c r="M348" i="15" s="1"/>
  <c r="L350" i="15"/>
  <c r="P349" i="15"/>
  <c r="O349" i="15"/>
  <c r="P346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O336" i="15" s="1"/>
  <c r="P335" i="15"/>
  <c r="O335" i="15"/>
  <c r="N333" i="15"/>
  <c r="M333" i="15"/>
  <c r="M331" i="15" s="1"/>
  <c r="L333" i="15"/>
  <c r="L331" i="15" s="1"/>
  <c r="P332" i="15"/>
  <c r="O332" i="15"/>
  <c r="P329" i="15"/>
  <c r="N329" i="15"/>
  <c r="M329" i="15"/>
  <c r="L329" i="15"/>
  <c r="O329" i="15" s="1"/>
  <c r="I327" i="15"/>
  <c r="I325" i="15"/>
  <c r="I314" i="15" s="1"/>
  <c r="K314" i="15" s="1"/>
  <c r="N323" i="15"/>
  <c r="N321" i="15" s="1"/>
  <c r="M323" i="15"/>
  <c r="L323" i="15"/>
  <c r="P322" i="15"/>
  <c r="O322" i="15"/>
  <c r="N320" i="15"/>
  <c r="M320" i="15"/>
  <c r="L320" i="15"/>
  <c r="O320" i="15" s="1"/>
  <c r="P319" i="15"/>
  <c r="O319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M304" i="15" s="1"/>
  <c r="P304" i="15" s="1"/>
  <c r="L306" i="15"/>
  <c r="O306" i="15" s="1"/>
  <c r="P305" i="15"/>
  <c r="O305" i="15"/>
  <c r="N303" i="15"/>
  <c r="N301" i="15" s="1"/>
  <c r="M303" i="15"/>
  <c r="M301" i="15" s="1"/>
  <c r="L303" i="15"/>
  <c r="L301" i="15" s="1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75" i="15" s="1"/>
  <c r="I287" i="15"/>
  <c r="K287" i="15" s="1"/>
  <c r="N285" i="15"/>
  <c r="N283" i="15" s="1"/>
  <c r="M285" i="15"/>
  <c r="P285" i="15" s="1"/>
  <c r="L285" i="15"/>
  <c r="O285" i="15" s="1"/>
  <c r="P284" i="15"/>
  <c r="O284" i="15"/>
  <c r="N282" i="15"/>
  <c r="N280" i="15" s="1"/>
  <c r="M282" i="15"/>
  <c r="L282" i="15"/>
  <c r="L280" i="15" s="1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P269" i="15" s="1"/>
  <c r="L269" i="15"/>
  <c r="O269" i="15" s="1"/>
  <c r="P268" i="15"/>
  <c r="O268" i="15"/>
  <c r="N266" i="15"/>
  <c r="N264" i="15" s="1"/>
  <c r="M266" i="15"/>
  <c r="L266" i="15"/>
  <c r="P265" i="15"/>
  <c r="O265" i="15"/>
  <c r="O262" i="15"/>
  <c r="N262" i="15"/>
  <c r="M262" i="15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N227" i="15"/>
  <c r="J226" i="15"/>
  <c r="J180" i="15" s="1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L187" i="15" s="1"/>
  <c r="O187" i="15" s="1"/>
  <c r="P188" i="15"/>
  <c r="O188" i="15"/>
  <c r="N186" i="15"/>
  <c r="N184" i="15" s="1"/>
  <c r="M186" i="15"/>
  <c r="L186" i="15"/>
  <c r="P185" i="15"/>
  <c r="O185" i="15"/>
  <c r="P182" i="15"/>
  <c r="O182" i="15"/>
  <c r="N182" i="15"/>
  <c r="M182" i="15"/>
  <c r="L182" i="15"/>
  <c r="J177" i="15"/>
  <c r="I176" i="15"/>
  <c r="I174" i="15" s="1"/>
  <c r="I164" i="15" s="1"/>
  <c r="J174" i="15"/>
  <c r="J164" i="15" s="1"/>
  <c r="N173" i="15"/>
  <c r="N171" i="15" s="1"/>
  <c r="M173" i="15"/>
  <c r="P173" i="15" s="1"/>
  <c r="L173" i="15"/>
  <c r="O173" i="15" s="1"/>
  <c r="P172" i="15"/>
  <c r="O172" i="15"/>
  <c r="N170" i="15"/>
  <c r="M170" i="15"/>
  <c r="L170" i="15"/>
  <c r="L168" i="15" s="1"/>
  <c r="P169" i="15"/>
  <c r="O169" i="15"/>
  <c r="P166" i="15"/>
  <c r="O166" i="15"/>
  <c r="N166" i="15"/>
  <c r="M166" i="15"/>
  <c r="L166" i="15"/>
  <c r="I159" i="15"/>
  <c r="K159" i="15" s="1"/>
  <c r="N157" i="15"/>
  <c r="N155" i="15" s="1"/>
  <c r="M157" i="15"/>
  <c r="L157" i="15"/>
  <c r="L155" i="15" s="1"/>
  <c r="O155" i="15" s="1"/>
  <c r="P156" i="15"/>
  <c r="O156" i="15"/>
  <c r="N154" i="15"/>
  <c r="N152" i="15" s="1"/>
  <c r="M154" i="15"/>
  <c r="L154" i="15"/>
  <c r="L152" i="15" s="1"/>
  <c r="P153" i="15"/>
  <c r="O153" i="15"/>
  <c r="P150" i="15"/>
  <c r="N150" i="15"/>
  <c r="M150" i="15"/>
  <c r="L150" i="15"/>
  <c r="O150" i="15" s="1"/>
  <c r="J148" i="15"/>
  <c r="I146" i="15"/>
  <c r="K146" i="15" s="1"/>
  <c r="I145" i="15"/>
  <c r="I143" i="15" s="1"/>
  <c r="I144" i="15"/>
  <c r="N140" i="15"/>
  <c r="N138" i="15" s="1"/>
  <c r="M140" i="15"/>
  <c r="M138" i="15" s="1"/>
  <c r="L140" i="15"/>
  <c r="P139" i="15"/>
  <c r="O139" i="15"/>
  <c r="N137" i="15"/>
  <c r="N135" i="15" s="1"/>
  <c r="M137" i="15"/>
  <c r="L137" i="15"/>
  <c r="P136" i="15"/>
  <c r="O136" i="15"/>
  <c r="O133" i="15"/>
  <c r="N133" i="15"/>
  <c r="M133" i="15"/>
  <c r="P133" i="15" s="1"/>
  <c r="L133" i="15"/>
  <c r="J130" i="15"/>
  <c r="N127" i="15"/>
  <c r="N125" i="15" s="1"/>
  <c r="M127" i="15"/>
  <c r="P127" i="15" s="1"/>
  <c r="L127" i="15"/>
  <c r="O127" i="15" s="1"/>
  <c r="P126" i="15"/>
  <c r="O126" i="15"/>
  <c r="N124" i="15"/>
  <c r="M124" i="15"/>
  <c r="P124" i="15" s="1"/>
  <c r="L124" i="15"/>
  <c r="O124" i="15" s="1"/>
  <c r="P123" i="15"/>
  <c r="O123" i="15"/>
  <c r="P120" i="15"/>
  <c r="N120" i="15"/>
  <c r="M120" i="15"/>
  <c r="L120" i="15"/>
  <c r="O120" i="15" s="1"/>
  <c r="I116" i="15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I98" i="15"/>
  <c r="N96" i="15"/>
  <c r="N94" i="15" s="1"/>
  <c r="M96" i="15"/>
  <c r="P96" i="15" s="1"/>
  <c r="L96" i="15"/>
  <c r="O96" i="15" s="1"/>
  <c r="P95" i="15"/>
  <c r="O95" i="15"/>
  <c r="N93" i="15"/>
  <c r="M93" i="15"/>
  <c r="L93" i="15"/>
  <c r="L91" i="15" s="1"/>
  <c r="P92" i="15"/>
  <c r="O92" i="15"/>
  <c r="P89" i="15"/>
  <c r="O89" i="15"/>
  <c r="N89" i="15"/>
  <c r="M89" i="15"/>
  <c r="L89" i="15"/>
  <c r="J87" i="15"/>
  <c r="J86" i="15"/>
  <c r="I84" i="15"/>
  <c r="K84" i="15" s="1"/>
  <c r="I83" i="15"/>
  <c r="K83" i="15" s="1"/>
  <c r="I82" i="15"/>
  <c r="I81" i="15"/>
  <c r="K81" i="15" s="1"/>
  <c r="I80" i="15"/>
  <c r="K80" i="15" s="1"/>
  <c r="I79" i="15"/>
  <c r="K79" i="15" s="1"/>
  <c r="I78" i="15"/>
  <c r="K78" i="15" s="1"/>
  <c r="J77" i="15"/>
  <c r="J65" i="15" s="1"/>
  <c r="J76" i="15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L71" i="15"/>
  <c r="L69" i="15" s="1"/>
  <c r="P70" i="15"/>
  <c r="O70" i="15"/>
  <c r="O67" i="15"/>
  <c r="N67" i="15"/>
  <c r="M67" i="15"/>
  <c r="P67" i="15" s="1"/>
  <c r="L67" i="15"/>
  <c r="J64" i="15"/>
  <c r="N61" i="15"/>
  <c r="N59" i="15" s="1"/>
  <c r="M61" i="15"/>
  <c r="P61" i="15" s="1"/>
  <c r="L61" i="15"/>
  <c r="O61" i="15" s="1"/>
  <c r="P60" i="15"/>
  <c r="O60" i="15"/>
  <c r="N58" i="15"/>
  <c r="M58" i="15"/>
  <c r="M56" i="15" s="1"/>
  <c r="L58" i="15"/>
  <c r="L56" i="15" s="1"/>
  <c r="P57" i="15"/>
  <c r="O57" i="15"/>
  <c r="P54" i="15"/>
  <c r="N54" i="15"/>
  <c r="M54" i="15"/>
  <c r="L54" i="15"/>
  <c r="O54" i="15" s="1"/>
  <c r="N49" i="15"/>
  <c r="N47" i="15" s="1"/>
  <c r="M49" i="15"/>
  <c r="P49" i="15" s="1"/>
  <c r="L49" i="15"/>
  <c r="O49" i="15" s="1"/>
  <c r="P48" i="15"/>
  <c r="O48" i="15"/>
  <c r="N46" i="15"/>
  <c r="N44" i="15" s="1"/>
  <c r="M46" i="15"/>
  <c r="L46" i="15"/>
  <c r="P45" i="15"/>
  <c r="O45" i="15"/>
  <c r="P42" i="15"/>
  <c r="O42" i="15"/>
  <c r="N42" i="15"/>
  <c r="M42" i="15"/>
  <c r="L42" i="15"/>
  <c r="P36" i="15"/>
  <c r="N36" i="15"/>
  <c r="M36" i="15"/>
  <c r="M30" i="15" s="1"/>
  <c r="P30" i="15" s="1"/>
  <c r="P35" i="15"/>
  <c r="N35" i="15"/>
  <c r="M35" i="15"/>
  <c r="L35" i="15"/>
  <c r="O35" i="15" s="1"/>
  <c r="N34" i="15"/>
  <c r="P33" i="15"/>
  <c r="N33" i="15"/>
  <c r="N31" i="15" s="1"/>
  <c r="M33" i="15"/>
  <c r="O32" i="15"/>
  <c r="N32" i="15"/>
  <c r="N29" i="15" s="1"/>
  <c r="M32" i="15"/>
  <c r="P32" i="15" s="1"/>
  <c r="L32" i="15"/>
  <c r="M31" i="15"/>
  <c r="P31" i="15" s="1"/>
  <c r="P29" i="15"/>
  <c r="M29" i="15"/>
  <c r="L29" i="15"/>
  <c r="O29" i="15" s="1"/>
  <c r="P25" i="15"/>
  <c r="O25" i="15"/>
  <c r="N25" i="15"/>
  <c r="N15" i="15" s="1"/>
  <c r="M25" i="15"/>
  <c r="L25" i="15"/>
  <c r="P22" i="15"/>
  <c r="O22" i="15"/>
  <c r="N22" i="15"/>
  <c r="M22" i="15"/>
  <c r="L22" i="15"/>
  <c r="L12" i="15" s="1"/>
  <c r="L19" i="15"/>
  <c r="O19" i="15" s="1"/>
  <c r="L15" i="15"/>
  <c r="O15" i="15" s="1"/>
  <c r="N12" i="15"/>
  <c r="N9" i="15" s="1"/>
  <c r="M12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P809" i="14"/>
  <c r="O809" i="14"/>
  <c r="O808" i="14"/>
  <c r="M808" i="14"/>
  <c r="P808" i="14" s="1"/>
  <c r="L808" i="14"/>
  <c r="M807" i="14"/>
  <c r="P807" i="14" s="1"/>
  <c r="L807" i="14"/>
  <c r="N806" i="14"/>
  <c r="M806" i="14"/>
  <c r="P806" i="14" s="1"/>
  <c r="L806" i="14"/>
  <c r="O806" i="14" s="1"/>
  <c r="P805" i="14"/>
  <c r="M805" i="14"/>
  <c r="K804" i="14"/>
  <c r="J804" i="14"/>
  <c r="K802" i="14"/>
  <c r="J801" i="14"/>
  <c r="J800" i="14"/>
  <c r="J785" i="14" s="1"/>
  <c r="I800" i="14"/>
  <c r="I785" i="14" s="1"/>
  <c r="K785" i="14" s="1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L788" i="14" s="1"/>
  <c r="P790" i="14"/>
  <c r="O790" i="14"/>
  <c r="N789" i="14"/>
  <c r="M789" i="14"/>
  <c r="P789" i="14" s="1"/>
  <c r="N788" i="14"/>
  <c r="M788" i="14"/>
  <c r="P788" i="14" s="1"/>
  <c r="N787" i="14"/>
  <c r="N786" i="14" s="1"/>
  <c r="M787" i="14"/>
  <c r="P787" i="14" s="1"/>
  <c r="L787" i="14"/>
  <c r="O787" i="14" s="1"/>
  <c r="P786" i="14"/>
  <c r="M786" i="14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N772" i="14" s="1"/>
  <c r="N770" i="14" s="1"/>
  <c r="P774" i="14"/>
  <c r="O774" i="14"/>
  <c r="P773" i="14"/>
  <c r="O773" i="14"/>
  <c r="N773" i="14"/>
  <c r="M773" i="14"/>
  <c r="L773" i="14"/>
  <c r="O772" i="14"/>
  <c r="M772" i="14"/>
  <c r="L772" i="14"/>
  <c r="N771" i="14"/>
  <c r="M771" i="14"/>
  <c r="P771" i="14" s="1"/>
  <c r="L771" i="14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N756" i="14" s="1"/>
  <c r="N754" i="14" s="1"/>
  <c r="P758" i="14"/>
  <c r="O758" i="14"/>
  <c r="P757" i="14"/>
  <c r="O757" i="14"/>
  <c r="N757" i="14"/>
  <c r="M757" i="14"/>
  <c r="L757" i="14"/>
  <c r="O756" i="14"/>
  <c r="M756" i="14"/>
  <c r="L756" i="14"/>
  <c r="N755" i="14"/>
  <c r="M755" i="14"/>
  <c r="P755" i="14" s="1"/>
  <c r="L755" i="14"/>
  <c r="K753" i="14"/>
  <c r="J753" i="14"/>
  <c r="P749" i="14"/>
  <c r="O749" i="14"/>
  <c r="P748" i="14"/>
  <c r="O748" i="14"/>
  <c r="P747" i="14"/>
  <c r="N747" i="14"/>
  <c r="M747" i="14"/>
  <c r="L747" i="14"/>
  <c r="O747" i="14" s="1"/>
  <c r="P742" i="14"/>
  <c r="O742" i="14"/>
  <c r="N742" i="14"/>
  <c r="N739" i="14" s="1"/>
  <c r="N737" i="14" s="1"/>
  <c r="P741" i="14"/>
  <c r="O741" i="14"/>
  <c r="P740" i="14"/>
  <c r="O740" i="14"/>
  <c r="N740" i="14"/>
  <c r="M740" i="14"/>
  <c r="L740" i="14"/>
  <c r="O739" i="14"/>
  <c r="M739" i="14"/>
  <c r="L739" i="14"/>
  <c r="N738" i="14"/>
  <c r="M738" i="14"/>
  <c r="P738" i="14" s="1"/>
  <c r="L738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N695" i="14"/>
  <c r="M695" i="14"/>
  <c r="L695" i="14"/>
  <c r="O695" i="14" s="1"/>
  <c r="P690" i="14"/>
  <c r="N690" i="14"/>
  <c r="N688" i="14" s="1"/>
  <c r="L690" i="14"/>
  <c r="L688" i="14" s="1"/>
  <c r="O688" i="14" s="1"/>
  <c r="M688" i="14"/>
  <c r="P688" i="14" s="1"/>
  <c r="N687" i="14"/>
  <c r="M687" i="14"/>
  <c r="P687" i="14" s="1"/>
  <c r="O686" i="14"/>
  <c r="N686" i="14"/>
  <c r="N685" i="14" s="1"/>
  <c r="M686" i="14"/>
  <c r="P686" i="14" s="1"/>
  <c r="L686" i="14"/>
  <c r="P685" i="14"/>
  <c r="M685" i="14"/>
  <c r="J679" i="14"/>
  <c r="J678" i="14"/>
  <c r="I678" i="14"/>
  <c r="K678" i="14" s="1"/>
  <c r="J675" i="14"/>
  <c r="J669" i="14" s="1"/>
  <c r="J654" i="14" s="1"/>
  <c r="I671" i="14"/>
  <c r="K671" i="14" s="1"/>
  <c r="I670" i="14"/>
  <c r="K670" i="14" s="1"/>
  <c r="I669" i="14"/>
  <c r="P667" i="14"/>
  <c r="O667" i="14"/>
  <c r="P666" i="14"/>
  <c r="O666" i="14"/>
  <c r="O665" i="14"/>
  <c r="N665" i="14"/>
  <c r="M665" i="14"/>
  <c r="P665" i="14" s="1"/>
  <c r="L665" i="14"/>
  <c r="P660" i="14"/>
  <c r="N660" i="14"/>
  <c r="L660" i="14"/>
  <c r="O660" i="14" s="1"/>
  <c r="P659" i="14"/>
  <c r="O659" i="14"/>
  <c r="P658" i="14"/>
  <c r="N658" i="14"/>
  <c r="M658" i="14"/>
  <c r="N657" i="14"/>
  <c r="M657" i="14"/>
  <c r="P657" i="14" s="1"/>
  <c r="P656" i="14"/>
  <c r="N656" i="14"/>
  <c r="N655" i="14" s="1"/>
  <c r="M656" i="14"/>
  <c r="L656" i="14"/>
  <c r="O656" i="14" s="1"/>
  <c r="M655" i="14"/>
  <c r="P655" i="14" s="1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N639" i="14"/>
  <c r="M639" i="14"/>
  <c r="P639" i="14" s="1"/>
  <c r="P634" i="14"/>
  <c r="N634" i="14"/>
  <c r="L634" i="14"/>
  <c r="O634" i="14" s="1"/>
  <c r="P633" i="14"/>
  <c r="O633" i="14"/>
  <c r="P632" i="14"/>
  <c r="N632" i="14"/>
  <c r="M632" i="14"/>
  <c r="N631" i="14"/>
  <c r="N629" i="14" s="1"/>
  <c r="M631" i="14"/>
  <c r="P631" i="14" s="1"/>
  <c r="P630" i="14"/>
  <c r="N630" i="14"/>
  <c r="M630" i="14"/>
  <c r="M629" i="14" s="1"/>
  <c r="P629" i="14" s="1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4" i="14"/>
  <c r="I594" i="14"/>
  <c r="J593" i="14"/>
  <c r="I593" i="14"/>
  <c r="I592" i="14" s="1"/>
  <c r="K592" i="14" s="1"/>
  <c r="J592" i="14"/>
  <c r="J583" i="14"/>
  <c r="J582" i="14"/>
  <c r="J576" i="14" s="1"/>
  <c r="J559" i="14" s="1"/>
  <c r="J543" i="14" s="1"/>
  <c r="J577" i="14"/>
  <c r="I577" i="14"/>
  <c r="K577" i="14" s="1"/>
  <c r="I576" i="14"/>
  <c r="K576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O557" i="14" s="1"/>
  <c r="P556" i="14"/>
  <c r="O556" i="14"/>
  <c r="P555" i="14"/>
  <c r="N555" i="14"/>
  <c r="M555" i="14"/>
  <c r="P549" i="14"/>
  <c r="N549" i="14"/>
  <c r="L549" i="14"/>
  <c r="O549" i="14" s="1"/>
  <c r="P548" i="14"/>
  <c r="O548" i="14"/>
  <c r="N547" i="14"/>
  <c r="M547" i="14"/>
  <c r="P547" i="14" s="1"/>
  <c r="P546" i="14"/>
  <c r="N546" i="14"/>
  <c r="N544" i="14" s="1"/>
  <c r="M546" i="14"/>
  <c r="O545" i="14"/>
  <c r="N545" i="14"/>
  <c r="M545" i="14"/>
  <c r="L545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I522" i="14" s="1"/>
  <c r="K522" i="14" s="1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P527" i="14"/>
  <c r="O527" i="14"/>
  <c r="N526" i="14"/>
  <c r="M526" i="14"/>
  <c r="P526" i="14" s="1"/>
  <c r="N525" i="14"/>
  <c r="M525" i="14"/>
  <c r="P525" i="14" s="1"/>
  <c r="N524" i="14"/>
  <c r="N523" i="14" s="1"/>
  <c r="M524" i="14"/>
  <c r="P524" i="14" s="1"/>
  <c r="L524" i="14"/>
  <c r="O524" i="14" s="1"/>
  <c r="P523" i="14"/>
  <c r="M523" i="14"/>
  <c r="K517" i="14"/>
  <c r="J517" i="14"/>
  <c r="J501" i="14" s="1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N504" i="14" s="1"/>
  <c r="P506" i="14"/>
  <c r="O506" i="14"/>
  <c r="O505" i="14"/>
  <c r="N505" i="14"/>
  <c r="M505" i="14"/>
  <c r="P505" i="14" s="1"/>
  <c r="L505" i="14"/>
  <c r="P504" i="14"/>
  <c r="M504" i="14"/>
  <c r="M502" i="14" s="1"/>
  <c r="P502" i="14" s="1"/>
  <c r="L504" i="14"/>
  <c r="O504" i="14" s="1"/>
  <c r="N503" i="14"/>
  <c r="M503" i="14"/>
  <c r="P503" i="14" s="1"/>
  <c r="L503" i="14"/>
  <c r="L502" i="14" s="1"/>
  <c r="O502" i="14" s="1"/>
  <c r="N502" i="14"/>
  <c r="K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P472" i="14"/>
  <c r="N472" i="14"/>
  <c r="N469" i="14" s="1"/>
  <c r="L472" i="14"/>
  <c r="P471" i="14"/>
  <c r="O471" i="14"/>
  <c r="N470" i="14"/>
  <c r="M470" i="14"/>
  <c r="P470" i="14" s="1"/>
  <c r="P469" i="14"/>
  <c r="M469" i="14"/>
  <c r="M467" i="14" s="1"/>
  <c r="P467" i="14" s="1"/>
  <c r="P468" i="14"/>
  <c r="O468" i="14"/>
  <c r="N468" i="14"/>
  <c r="M468" i="14"/>
  <c r="L468" i="14"/>
  <c r="N467" i="14"/>
  <c r="J466" i="14"/>
  <c r="I466" i="14"/>
  <c r="K466" i="14" s="1"/>
  <c r="J465" i="14"/>
  <c r="I465" i="14"/>
  <c r="K465" i="14" s="1"/>
  <c r="I464" i="14"/>
  <c r="I463" i="14"/>
  <c r="I462" i="14"/>
  <c r="K462" i="14" s="1"/>
  <c r="I460" i="14"/>
  <c r="K460" i="14" s="1"/>
  <c r="K458" i="14"/>
  <c r="P456" i="14"/>
  <c r="L456" i="14"/>
  <c r="P455" i="14"/>
  <c r="O455" i="14"/>
  <c r="N454" i="14"/>
  <c r="M454" i="14"/>
  <c r="P454" i="14" s="1"/>
  <c r="P449" i="14"/>
  <c r="N449" i="14"/>
  <c r="L449" i="14"/>
  <c r="O449" i="14" s="1"/>
  <c r="P448" i="14"/>
  <c r="O448" i="14"/>
  <c r="N447" i="14"/>
  <c r="M447" i="14"/>
  <c r="P447" i="14" s="1"/>
  <c r="N446" i="14"/>
  <c r="N444" i="14" s="1"/>
  <c r="M446" i="14"/>
  <c r="P446" i="14" s="1"/>
  <c r="P445" i="14"/>
  <c r="N445" i="14"/>
  <c r="M445" i="14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I437" i="14"/>
  <c r="K437" i="14" s="1"/>
  <c r="I435" i="14"/>
  <c r="I433" i="14" s="1"/>
  <c r="I417" i="14" s="1"/>
  <c r="J434" i="14"/>
  <c r="P431" i="14"/>
  <c r="L431" i="14"/>
  <c r="P430" i="14"/>
  <c r="O430" i="14"/>
  <c r="P429" i="14"/>
  <c r="N429" i="14"/>
  <c r="M429" i="14"/>
  <c r="P424" i="14"/>
  <c r="N424" i="14"/>
  <c r="N421" i="14" s="1"/>
  <c r="N419" i="14" s="1"/>
  <c r="L424" i="14"/>
  <c r="P423" i="14"/>
  <c r="O423" i="14"/>
  <c r="N422" i="14"/>
  <c r="M422" i="14"/>
  <c r="P422" i="14" s="1"/>
  <c r="M421" i="14"/>
  <c r="P421" i="14" s="1"/>
  <c r="N420" i="14"/>
  <c r="M420" i="14"/>
  <c r="M419" i="14" s="1"/>
  <c r="L420" i="14"/>
  <c r="J418" i="14"/>
  <c r="K413" i="14"/>
  <c r="K412" i="14"/>
  <c r="N410" i="14"/>
  <c r="N408" i="14" s="1"/>
  <c r="M410" i="14"/>
  <c r="L410" i="14"/>
  <c r="P409" i="14"/>
  <c r="O409" i="14"/>
  <c r="N407" i="14"/>
  <c r="N405" i="14" s="1"/>
  <c r="M407" i="14"/>
  <c r="M405" i="14" s="1"/>
  <c r="P405" i="14" s="1"/>
  <c r="L407" i="14"/>
  <c r="O407" i="14" s="1"/>
  <c r="P406" i="14"/>
  <c r="O406" i="14"/>
  <c r="P403" i="14"/>
  <c r="N403" i="14"/>
  <c r="M403" i="14"/>
  <c r="L403" i="14"/>
  <c r="O403" i="14" s="1"/>
  <c r="J401" i="14"/>
  <c r="I401" i="14"/>
  <c r="K401" i="14" s="1"/>
  <c r="K400" i="14"/>
  <c r="K399" i="14"/>
  <c r="N397" i="14"/>
  <c r="N395" i="14" s="1"/>
  <c r="M397" i="14"/>
  <c r="L397" i="14"/>
  <c r="P396" i="14"/>
  <c r="O396" i="14"/>
  <c r="N394" i="14"/>
  <c r="N392" i="14" s="1"/>
  <c r="M394" i="14"/>
  <c r="L394" i="14"/>
  <c r="P393" i="14"/>
  <c r="O393" i="14"/>
  <c r="P390" i="14"/>
  <c r="N390" i="14"/>
  <c r="M390" i="14"/>
  <c r="L390" i="14"/>
  <c r="O390" i="14" s="1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L351" i="14" s="1"/>
  <c r="P352" i="14"/>
  <c r="O352" i="14"/>
  <c r="N350" i="14"/>
  <c r="M350" i="14"/>
  <c r="L350" i="14"/>
  <c r="L348" i="14" s="1"/>
  <c r="P349" i="14"/>
  <c r="O349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O336" i="14" s="1"/>
  <c r="P335" i="14"/>
  <c r="O335" i="14"/>
  <c r="N333" i="14"/>
  <c r="N331" i="14" s="1"/>
  <c r="M333" i="14"/>
  <c r="L333" i="14"/>
  <c r="P332" i="14"/>
  <c r="O332" i="14"/>
  <c r="P329" i="14"/>
  <c r="O329" i="14"/>
  <c r="N329" i="14"/>
  <c r="M329" i="14"/>
  <c r="L329" i="14"/>
  <c r="I327" i="14"/>
  <c r="I325" i="14"/>
  <c r="I314" i="14" s="1"/>
  <c r="K314" i="14" s="1"/>
  <c r="N323" i="14"/>
  <c r="N321" i="14" s="1"/>
  <c r="M323" i="14"/>
  <c r="P323" i="14" s="1"/>
  <c r="L323" i="14"/>
  <c r="L321" i="14" s="1"/>
  <c r="O321" i="14" s="1"/>
  <c r="P322" i="14"/>
  <c r="O322" i="14"/>
  <c r="N320" i="14"/>
  <c r="N318" i="14" s="1"/>
  <c r="M320" i="14"/>
  <c r="P320" i="14" s="1"/>
  <c r="L320" i="14"/>
  <c r="P319" i="14"/>
  <c r="O319" i="14"/>
  <c r="O316" i="14"/>
  <c r="N316" i="14"/>
  <c r="M316" i="14"/>
  <c r="P316" i="14" s="1"/>
  <c r="L316" i="14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P306" i="14" s="1"/>
  <c r="L306" i="14"/>
  <c r="O306" i="14" s="1"/>
  <c r="P305" i="14"/>
  <c r="O305" i="14"/>
  <c r="N303" i="14"/>
  <c r="M303" i="14"/>
  <c r="L303" i="14"/>
  <c r="P302" i="14"/>
  <c r="O302" i="14"/>
  <c r="P299" i="14"/>
  <c r="N299" i="14"/>
  <c r="M299" i="14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J275" i="14" s="1"/>
  <c r="I287" i="14"/>
  <c r="K287" i="14" s="1"/>
  <c r="N285" i="14"/>
  <c r="N283" i="14" s="1"/>
  <c r="M285" i="14"/>
  <c r="L285" i="14"/>
  <c r="P284" i="14"/>
  <c r="O284" i="14"/>
  <c r="N282" i="14"/>
  <c r="M282" i="14"/>
  <c r="M280" i="14" s="1"/>
  <c r="L282" i="14"/>
  <c r="P281" i="14"/>
  <c r="O281" i="14"/>
  <c r="N278" i="14"/>
  <c r="M278" i="14"/>
  <c r="L278" i="14"/>
  <c r="O278" i="14" s="1"/>
  <c r="J276" i="14"/>
  <c r="I271" i="14"/>
  <c r="N269" i="14"/>
  <c r="N267" i="14" s="1"/>
  <c r="M269" i="14"/>
  <c r="P269" i="14" s="1"/>
  <c r="L269" i="14"/>
  <c r="O269" i="14" s="1"/>
  <c r="P268" i="14"/>
  <c r="O268" i="14"/>
  <c r="N266" i="14"/>
  <c r="N264" i="14" s="1"/>
  <c r="M266" i="14"/>
  <c r="M264" i="14" s="1"/>
  <c r="L266" i="14"/>
  <c r="L264" i="14" s="1"/>
  <c r="P265" i="14"/>
  <c r="O265" i="14"/>
  <c r="N262" i="14"/>
  <c r="M262" i="14"/>
  <c r="L262" i="14"/>
  <c r="O262" i="14" s="1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N227" i="14" s="1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I216" i="14" s="1"/>
  <c r="K216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I197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L189" i="14"/>
  <c r="P188" i="14"/>
  <c r="O188" i="14"/>
  <c r="N186" i="14"/>
  <c r="N184" i="14" s="1"/>
  <c r="M186" i="14"/>
  <c r="M184" i="14" s="1"/>
  <c r="L186" i="14"/>
  <c r="L184" i="14" s="1"/>
  <c r="P185" i="14"/>
  <c r="O185" i="14"/>
  <c r="P182" i="14"/>
  <c r="O182" i="14"/>
  <c r="N182" i="14"/>
  <c r="M182" i="14"/>
  <c r="L182" i="14"/>
  <c r="K180" i="14"/>
  <c r="J177" i="14"/>
  <c r="J164" i="14" s="1"/>
  <c r="I176" i="14"/>
  <c r="K176" i="14" s="1"/>
  <c r="J174" i="14"/>
  <c r="N173" i="14"/>
  <c r="N171" i="14" s="1"/>
  <c r="M173" i="14"/>
  <c r="M171" i="14" s="1"/>
  <c r="P171" i="14" s="1"/>
  <c r="L173" i="14"/>
  <c r="L171" i="14" s="1"/>
  <c r="O171" i="14" s="1"/>
  <c r="P172" i="14"/>
  <c r="O172" i="14"/>
  <c r="N170" i="14"/>
  <c r="N168" i="14" s="1"/>
  <c r="M170" i="14"/>
  <c r="M168" i="14" s="1"/>
  <c r="L170" i="14"/>
  <c r="L168" i="14" s="1"/>
  <c r="P169" i="14"/>
  <c r="O169" i="14"/>
  <c r="O166" i="14"/>
  <c r="N166" i="14"/>
  <c r="M166" i="14"/>
  <c r="P166" i="14" s="1"/>
  <c r="L166" i="14"/>
  <c r="I159" i="14"/>
  <c r="I148" i="14" s="1"/>
  <c r="K148" i="14" s="1"/>
  <c r="N157" i="14"/>
  <c r="N155" i="14" s="1"/>
  <c r="M157" i="14"/>
  <c r="M155" i="14" s="1"/>
  <c r="P155" i="14" s="1"/>
  <c r="L157" i="14"/>
  <c r="O157" i="14" s="1"/>
  <c r="P156" i="14"/>
  <c r="O156" i="14"/>
  <c r="N154" i="14"/>
  <c r="M154" i="14"/>
  <c r="L154" i="14"/>
  <c r="O154" i="14" s="1"/>
  <c r="P153" i="14"/>
  <c r="O153" i="14"/>
  <c r="P150" i="14"/>
  <c r="O150" i="14"/>
  <c r="N150" i="14"/>
  <c r="M150" i="14"/>
  <c r="L150" i="14"/>
  <c r="J148" i="14"/>
  <c r="I146" i="14"/>
  <c r="I145" i="14"/>
  <c r="I144" i="14"/>
  <c r="K144" i="14" s="1"/>
  <c r="N140" i="14"/>
  <c r="N138" i="14" s="1"/>
  <c r="M140" i="14"/>
  <c r="L140" i="14"/>
  <c r="L138" i="14" s="1"/>
  <c r="O138" i="14" s="1"/>
  <c r="P139" i="14"/>
  <c r="O139" i="14"/>
  <c r="N137" i="14"/>
  <c r="M137" i="14"/>
  <c r="M135" i="14" s="1"/>
  <c r="P135" i="14" s="1"/>
  <c r="L137" i="14"/>
  <c r="L135" i="14" s="1"/>
  <c r="O135" i="14" s="1"/>
  <c r="P136" i="14"/>
  <c r="O136" i="14"/>
  <c r="N133" i="14"/>
  <c r="M133" i="14"/>
  <c r="P133" i="14" s="1"/>
  <c r="L133" i="14"/>
  <c r="O133" i="14" s="1"/>
  <c r="J130" i="14"/>
  <c r="N127" i="14"/>
  <c r="N125" i="14" s="1"/>
  <c r="M127" i="14"/>
  <c r="P127" i="14" s="1"/>
  <c r="L127" i="14"/>
  <c r="P126" i="14"/>
  <c r="O126" i="14"/>
  <c r="N124" i="14"/>
  <c r="N122" i="14" s="1"/>
  <c r="M124" i="14"/>
  <c r="L124" i="14"/>
  <c r="O124" i="14" s="1"/>
  <c r="P123" i="14"/>
  <c r="O123" i="14"/>
  <c r="P120" i="14"/>
  <c r="N120" i="14"/>
  <c r="M120" i="14"/>
  <c r="L120" i="14"/>
  <c r="O120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K99" i="14" s="1"/>
  <c r="J98" i="14"/>
  <c r="I98" i="14"/>
  <c r="K98" i="14" s="1"/>
  <c r="N96" i="14"/>
  <c r="N94" i="14" s="1"/>
  <c r="M96" i="14"/>
  <c r="M94" i="14" s="1"/>
  <c r="P94" i="14" s="1"/>
  <c r="L96" i="14"/>
  <c r="O96" i="14" s="1"/>
  <c r="P95" i="14"/>
  <c r="O95" i="14"/>
  <c r="N93" i="14"/>
  <c r="N91" i="14" s="1"/>
  <c r="M93" i="14"/>
  <c r="M91" i="14" s="1"/>
  <c r="L93" i="14"/>
  <c r="P92" i="14"/>
  <c r="O92" i="14"/>
  <c r="P89" i="14"/>
  <c r="O89" i="14"/>
  <c r="N89" i="14"/>
  <c r="M89" i="14"/>
  <c r="L89" i="14"/>
  <c r="J86" i="14"/>
  <c r="I84" i="14"/>
  <c r="K84" i="14" s="1"/>
  <c r="I83" i="14"/>
  <c r="I82" i="14"/>
  <c r="K82" i="14" s="1"/>
  <c r="I81" i="14"/>
  <c r="K81" i="14" s="1"/>
  <c r="I80" i="14"/>
  <c r="I79" i="14"/>
  <c r="K79" i="14" s="1"/>
  <c r="I78" i="14"/>
  <c r="K78" i="14" s="1"/>
  <c r="J77" i="14"/>
  <c r="J65" i="14" s="1"/>
  <c r="J76" i="14"/>
  <c r="N74" i="14"/>
  <c r="N72" i="14" s="1"/>
  <c r="M74" i="14"/>
  <c r="M72" i="14" s="1"/>
  <c r="P72" i="14" s="1"/>
  <c r="L74" i="14"/>
  <c r="L72" i="14" s="1"/>
  <c r="O72" i="14" s="1"/>
  <c r="P73" i="14"/>
  <c r="O73" i="14"/>
  <c r="N71" i="14"/>
  <c r="M71" i="14"/>
  <c r="M69" i="14" s="1"/>
  <c r="L71" i="14"/>
  <c r="L69" i="14" s="1"/>
  <c r="P70" i="14"/>
  <c r="O70" i="14"/>
  <c r="N67" i="14"/>
  <c r="M67" i="14"/>
  <c r="P67" i="14" s="1"/>
  <c r="L67" i="14"/>
  <c r="O67" i="14" s="1"/>
  <c r="J64" i="14"/>
  <c r="N61" i="14"/>
  <c r="M61" i="14"/>
  <c r="L61" i="14"/>
  <c r="L59" i="14" s="1"/>
  <c r="P60" i="14"/>
  <c r="O60" i="14"/>
  <c r="N58" i="14"/>
  <c r="N56" i="14" s="1"/>
  <c r="M58" i="14"/>
  <c r="M56" i="14" s="1"/>
  <c r="L58" i="14"/>
  <c r="P57" i="14"/>
  <c r="O57" i="14"/>
  <c r="P54" i="14"/>
  <c r="N54" i="14"/>
  <c r="M54" i="14"/>
  <c r="L54" i="14"/>
  <c r="O54" i="14" s="1"/>
  <c r="N49" i="14"/>
  <c r="N47" i="14" s="1"/>
  <c r="M49" i="14"/>
  <c r="L49" i="14"/>
  <c r="P48" i="14"/>
  <c r="O48" i="14"/>
  <c r="N46" i="14"/>
  <c r="M46" i="14"/>
  <c r="M44" i="14" s="1"/>
  <c r="L46" i="14"/>
  <c r="L44" i="14" s="1"/>
  <c r="P45" i="14"/>
  <c r="O45" i="14"/>
  <c r="N42" i="14"/>
  <c r="M42" i="14"/>
  <c r="P42" i="14" s="1"/>
  <c r="L42" i="14"/>
  <c r="O42" i="14" s="1"/>
  <c r="P36" i="14"/>
  <c r="N36" i="14"/>
  <c r="M36" i="14"/>
  <c r="P35" i="14"/>
  <c r="O35" i="14"/>
  <c r="N35" i="14"/>
  <c r="N34" i="14" s="1"/>
  <c r="M35" i="14"/>
  <c r="L35" i="14"/>
  <c r="M34" i="14"/>
  <c r="P34" i="14" s="1"/>
  <c r="N33" i="14"/>
  <c r="M33" i="14"/>
  <c r="N32" i="14"/>
  <c r="M32" i="14"/>
  <c r="P32" i="14" s="1"/>
  <c r="L32" i="14"/>
  <c r="N30" i="14"/>
  <c r="N29" i="14"/>
  <c r="N28" i="14" s="1"/>
  <c r="P25" i="14"/>
  <c r="N25" i="14"/>
  <c r="N15" i="14" s="1"/>
  <c r="M25" i="14"/>
  <c r="L25" i="14"/>
  <c r="O25" i="14" s="1"/>
  <c r="O22" i="14"/>
  <c r="N22" i="14"/>
  <c r="M22" i="14"/>
  <c r="P22" i="14" s="1"/>
  <c r="L22" i="14"/>
  <c r="N19" i="14"/>
  <c r="L19" i="14"/>
  <c r="O19" i="14" s="1"/>
  <c r="M15" i="14"/>
  <c r="P15" i="14" s="1"/>
  <c r="N12" i="14"/>
  <c r="N9" i="14" s="1"/>
  <c r="L12" i="14"/>
  <c r="O12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P809" i="13"/>
  <c r="O809" i="13"/>
  <c r="O808" i="13"/>
  <c r="M808" i="13"/>
  <c r="P808" i="13" s="1"/>
  <c r="L808" i="13"/>
  <c r="M807" i="13"/>
  <c r="P807" i="13" s="1"/>
  <c r="L807" i="13"/>
  <c r="O806" i="13"/>
  <c r="N806" i="13"/>
  <c r="M806" i="13"/>
  <c r="P806" i="13" s="1"/>
  <c r="L806" i="13"/>
  <c r="P805" i="13"/>
  <c r="M805" i="13"/>
  <c r="K804" i="13"/>
  <c r="J804" i="13"/>
  <c r="K802" i="13"/>
  <c r="J801" i="13"/>
  <c r="J800" i="13"/>
  <c r="I800" i="13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L788" i="13" s="1"/>
  <c r="P790" i="13"/>
  <c r="O790" i="13"/>
  <c r="N789" i="13"/>
  <c r="M789" i="13"/>
  <c r="P789" i="13" s="1"/>
  <c r="N788" i="13"/>
  <c r="M788" i="13"/>
  <c r="P788" i="13" s="1"/>
  <c r="N787" i="13"/>
  <c r="N786" i="13" s="1"/>
  <c r="M787" i="13"/>
  <c r="P787" i="13" s="1"/>
  <c r="L787" i="13"/>
  <c r="O787" i="13" s="1"/>
  <c r="P786" i="13"/>
  <c r="M786" i="13"/>
  <c r="J785" i="13"/>
  <c r="I785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N770" i="13" s="1"/>
  <c r="P774" i="13"/>
  <c r="O774" i="13"/>
  <c r="P773" i="13"/>
  <c r="O773" i="13"/>
  <c r="N773" i="13"/>
  <c r="M773" i="13"/>
  <c r="L773" i="13"/>
  <c r="O772" i="13"/>
  <c r="M772" i="13"/>
  <c r="L772" i="13"/>
  <c r="N771" i="13"/>
  <c r="M771" i="13"/>
  <c r="P771" i="13" s="1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N754" i="13" s="1"/>
  <c r="P758" i="13"/>
  <c r="O758" i="13"/>
  <c r="P757" i="13"/>
  <c r="N757" i="13"/>
  <c r="M757" i="13"/>
  <c r="L757" i="13"/>
  <c r="O757" i="13" s="1"/>
  <c r="O756" i="13"/>
  <c r="M756" i="13"/>
  <c r="L756" i="13"/>
  <c r="N755" i="13"/>
  <c r="M755" i="13"/>
  <c r="P755" i="13" s="1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N737" i="13" s="1"/>
  <c r="P741" i="13"/>
  <c r="O741" i="13"/>
  <c r="P740" i="13"/>
  <c r="O740" i="13"/>
  <c r="N740" i="13"/>
  <c r="M740" i="13"/>
  <c r="L740" i="13"/>
  <c r="O739" i="13"/>
  <c r="M739" i="13"/>
  <c r="L739" i="13"/>
  <c r="N738" i="13"/>
  <c r="M738" i="13"/>
  <c r="P738" i="13" s="1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L688" i="13" s="1"/>
  <c r="M688" i="13"/>
  <c r="P688" i="13" s="1"/>
  <c r="N687" i="13"/>
  <c r="M687" i="13"/>
  <c r="P687" i="13" s="1"/>
  <c r="N686" i="13"/>
  <c r="N685" i="13" s="1"/>
  <c r="M686" i="13"/>
  <c r="P686" i="13" s="1"/>
  <c r="L686" i="13"/>
  <c r="O686" i="13" s="1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4" i="13" s="1"/>
  <c r="P667" i="13"/>
  <c r="O667" i="13"/>
  <c r="P666" i="13"/>
  <c r="O666" i="13"/>
  <c r="N665" i="13"/>
  <c r="M665" i="13"/>
  <c r="P665" i="13" s="1"/>
  <c r="L665" i="13"/>
  <c r="O665" i="13" s="1"/>
  <c r="P660" i="13"/>
  <c r="N660" i="13"/>
  <c r="L660" i="13"/>
  <c r="O660" i="13" s="1"/>
  <c r="P659" i="13"/>
  <c r="O659" i="13"/>
  <c r="P658" i="13"/>
  <c r="N658" i="13"/>
  <c r="M658" i="13"/>
  <c r="P657" i="13"/>
  <c r="N657" i="13"/>
  <c r="M657" i="13"/>
  <c r="P656" i="13"/>
  <c r="O656" i="13"/>
  <c r="N656" i="13"/>
  <c r="N655" i="13" s="1"/>
  <c r="M656" i="13"/>
  <c r="L656" i="13"/>
  <c r="M655" i="13"/>
  <c r="P655" i="13" s="1"/>
  <c r="K652" i="13"/>
  <c r="J652" i="13"/>
  <c r="J651" i="13"/>
  <c r="J628" i="13" s="1"/>
  <c r="I651" i="13"/>
  <c r="I628" i="13" s="1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L632" i="13" s="1"/>
  <c r="O632" i="13" s="1"/>
  <c r="P633" i="13"/>
  <c r="O633" i="13"/>
  <c r="N632" i="13"/>
  <c r="M632" i="13"/>
  <c r="P632" i="13" s="1"/>
  <c r="N631" i="13"/>
  <c r="N629" i="13" s="1"/>
  <c r="M631" i="13"/>
  <c r="P631" i="13" s="1"/>
  <c r="P630" i="13"/>
  <c r="N630" i="13"/>
  <c r="M630" i="13"/>
  <c r="M629" i="13" s="1"/>
  <c r="P629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3" i="13" s="1"/>
  <c r="J592" i="13" s="1"/>
  <c r="J594" i="13"/>
  <c r="I594" i="13"/>
  <c r="K594" i="13" s="1"/>
  <c r="I593" i="13"/>
  <c r="I592" i="13" s="1"/>
  <c r="J583" i="13"/>
  <c r="J582" i="13"/>
  <c r="J576" i="13" s="1"/>
  <c r="J559" i="13" s="1"/>
  <c r="J543" i="13" s="1"/>
  <c r="J577" i="13"/>
  <c r="I577" i="13"/>
  <c r="K577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P555" i="13"/>
  <c r="N555" i="13"/>
  <c r="M555" i="13"/>
  <c r="M545" i="13" s="1"/>
  <c r="P545" i="13" s="1"/>
  <c r="N554" i="13"/>
  <c r="P549" i="13"/>
  <c r="N549" i="13"/>
  <c r="L549" i="13"/>
  <c r="O549" i="13" s="1"/>
  <c r="P548" i="13"/>
  <c r="O548" i="13"/>
  <c r="P547" i="13"/>
  <c r="N547" i="13"/>
  <c r="M547" i="13"/>
  <c r="L547" i="13"/>
  <c r="O547" i="13" s="1"/>
  <c r="N546" i="13"/>
  <c r="M546" i="13"/>
  <c r="P546" i="13" s="1"/>
  <c r="N545" i="13"/>
  <c r="N544" i="13" s="1"/>
  <c r="L545" i="13"/>
  <c r="O545" i="13" s="1"/>
  <c r="M544" i="13"/>
  <c r="P544" i="13" s="1"/>
  <c r="I542" i="13"/>
  <c r="K542" i="13" s="1"/>
  <c r="I541" i="13"/>
  <c r="K541" i="13" s="1"/>
  <c r="I540" i="13"/>
  <c r="K540" i="13" s="1"/>
  <c r="I539" i="13"/>
  <c r="I538" i="13"/>
  <c r="K538" i="13" s="1"/>
  <c r="I537" i="13"/>
  <c r="K537" i="13" s="1"/>
  <c r="P535" i="13"/>
  <c r="L535" i="13"/>
  <c r="O535" i="13" s="1"/>
  <c r="P534" i="13"/>
  <c r="O534" i="13"/>
  <c r="N533" i="13"/>
  <c r="M533" i="13"/>
  <c r="P533" i="13" s="1"/>
  <c r="P528" i="13"/>
  <c r="N528" i="13"/>
  <c r="N525" i="13" s="1"/>
  <c r="L528" i="13"/>
  <c r="L526" i="13" s="1"/>
  <c r="O526" i="13" s="1"/>
  <c r="P527" i="13"/>
  <c r="O527" i="13"/>
  <c r="P526" i="13"/>
  <c r="M526" i="13"/>
  <c r="M525" i="13"/>
  <c r="P524" i="13"/>
  <c r="N524" i="13"/>
  <c r="M524" i="13"/>
  <c r="L524" i="13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N505" i="13"/>
  <c r="M505" i="13"/>
  <c r="P505" i="13" s="1"/>
  <c r="L505" i="13"/>
  <c r="O505" i="13" s="1"/>
  <c r="N504" i="13"/>
  <c r="N502" i="13" s="1"/>
  <c r="M504" i="13"/>
  <c r="P504" i="13" s="1"/>
  <c r="L504" i="13"/>
  <c r="O504" i="13" s="1"/>
  <c r="P503" i="13"/>
  <c r="N503" i="13"/>
  <c r="M503" i="13"/>
  <c r="M502" i="13" s="1"/>
  <c r="P502" i="13" s="1"/>
  <c r="L503" i="13"/>
  <c r="O503" i="13" s="1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P472" i="13"/>
  <c r="N472" i="13"/>
  <c r="L472" i="13"/>
  <c r="L470" i="13" s="1"/>
  <c r="O470" i="13" s="1"/>
  <c r="P471" i="13"/>
  <c r="O471" i="13"/>
  <c r="N470" i="13"/>
  <c r="M470" i="13"/>
  <c r="P470" i="13" s="1"/>
  <c r="M469" i="13"/>
  <c r="P469" i="13" s="1"/>
  <c r="P468" i="13"/>
  <c r="N468" i="13"/>
  <c r="M468" i="13"/>
  <c r="M467" i="13" s="1"/>
  <c r="P467" i="13" s="1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K462" i="13" s="1"/>
  <c r="I460" i="13"/>
  <c r="K460" i="13" s="1"/>
  <c r="K458" i="13"/>
  <c r="P456" i="13"/>
  <c r="L456" i="13"/>
  <c r="O456" i="13" s="1"/>
  <c r="P455" i="13"/>
  <c r="O455" i="13"/>
  <c r="P454" i="13"/>
  <c r="N454" i="13"/>
  <c r="M454" i="13"/>
  <c r="P449" i="13"/>
  <c r="N449" i="13"/>
  <c r="L449" i="13"/>
  <c r="P448" i="13"/>
  <c r="O448" i="13"/>
  <c r="N447" i="13"/>
  <c r="M447" i="13"/>
  <c r="P447" i="13" s="1"/>
  <c r="N446" i="13"/>
  <c r="M446" i="13"/>
  <c r="P446" i="13" s="1"/>
  <c r="N445" i="13"/>
  <c r="N444" i="13" s="1"/>
  <c r="M445" i="13"/>
  <c r="P445" i="13" s="1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K435" i="13" s="1"/>
  <c r="J434" i="13"/>
  <c r="P431" i="13"/>
  <c r="L431" i="13"/>
  <c r="O431" i="13" s="1"/>
  <c r="P430" i="13"/>
  <c r="O430" i="13"/>
  <c r="P429" i="13"/>
  <c r="N429" i="13"/>
  <c r="M429" i="13"/>
  <c r="P424" i="13"/>
  <c r="N424" i="13"/>
  <c r="L424" i="13"/>
  <c r="P423" i="13"/>
  <c r="O423" i="13"/>
  <c r="N422" i="13"/>
  <c r="M422" i="13"/>
  <c r="P422" i="13" s="1"/>
  <c r="N421" i="13"/>
  <c r="M421" i="13"/>
  <c r="P421" i="13" s="1"/>
  <c r="N420" i="13"/>
  <c r="N419" i="13" s="1"/>
  <c r="M420" i="13"/>
  <c r="P420" i="13" s="1"/>
  <c r="L420" i="13"/>
  <c r="O420" i="13" s="1"/>
  <c r="J418" i="13"/>
  <c r="K413" i="13"/>
  <c r="K412" i="13"/>
  <c r="N410" i="13"/>
  <c r="N408" i="13" s="1"/>
  <c r="M410" i="13"/>
  <c r="P410" i="13" s="1"/>
  <c r="L410" i="13"/>
  <c r="O410" i="13" s="1"/>
  <c r="P409" i="13"/>
  <c r="O409" i="13"/>
  <c r="N407" i="13"/>
  <c r="M407" i="13"/>
  <c r="P407" i="13" s="1"/>
  <c r="L407" i="13"/>
  <c r="O407" i="13" s="1"/>
  <c r="P406" i="13"/>
  <c r="O406" i="13"/>
  <c r="O403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P396" i="13"/>
  <c r="O396" i="13"/>
  <c r="N394" i="13"/>
  <c r="N392" i="13" s="1"/>
  <c r="M394" i="13"/>
  <c r="P394" i="13" s="1"/>
  <c r="L394" i="13"/>
  <c r="P393" i="13"/>
  <c r="O393" i="13"/>
  <c r="N390" i="13"/>
  <c r="M390" i="13"/>
  <c r="L390" i="13"/>
  <c r="O390" i="13" s="1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P352" i="13"/>
  <c r="O352" i="13"/>
  <c r="N350" i="13"/>
  <c r="N348" i="13" s="1"/>
  <c r="M350" i="13"/>
  <c r="L350" i="13"/>
  <c r="L348" i="13" s="1"/>
  <c r="P349" i="13"/>
  <c r="O349" i="13"/>
  <c r="N346" i="13"/>
  <c r="M346" i="13"/>
  <c r="P346" i="13" s="1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L334" i="13" s="1"/>
  <c r="O334" i="13" s="1"/>
  <c r="P335" i="13"/>
  <c r="O335" i="13"/>
  <c r="N333" i="13"/>
  <c r="N331" i="13" s="1"/>
  <c r="M333" i="13"/>
  <c r="L333" i="13"/>
  <c r="P332" i="13"/>
  <c r="O332" i="13"/>
  <c r="N329" i="13"/>
  <c r="M329" i="13"/>
  <c r="L329" i="13"/>
  <c r="O329" i="13" s="1"/>
  <c r="I327" i="13"/>
  <c r="I325" i="13"/>
  <c r="K325" i="13" s="1"/>
  <c r="N323" i="13"/>
  <c r="N321" i="13" s="1"/>
  <c r="M323" i="13"/>
  <c r="L323" i="13"/>
  <c r="O323" i="13" s="1"/>
  <c r="P322" i="13"/>
  <c r="O322" i="13"/>
  <c r="N320" i="13"/>
  <c r="N318" i="13" s="1"/>
  <c r="M320" i="13"/>
  <c r="M318" i="13" s="1"/>
  <c r="P318" i="13" s="1"/>
  <c r="L320" i="13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I297" i="13" s="1"/>
  <c r="K297" i="13" s="1"/>
  <c r="N306" i="13"/>
  <c r="M306" i="13"/>
  <c r="P306" i="13" s="1"/>
  <c r="L306" i="13"/>
  <c r="O306" i="13" s="1"/>
  <c r="P305" i="13"/>
  <c r="O305" i="13"/>
  <c r="N303" i="13"/>
  <c r="N301" i="13" s="1"/>
  <c r="M303" i="13"/>
  <c r="L303" i="13"/>
  <c r="L301" i="13" s="1"/>
  <c r="O301" i="13" s="1"/>
  <c r="P302" i="13"/>
  <c r="O302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J288" i="13" s="1"/>
  <c r="J275" i="13" s="1"/>
  <c r="I287" i="13"/>
  <c r="K287" i="13" s="1"/>
  <c r="N285" i="13"/>
  <c r="N283" i="13" s="1"/>
  <c r="M285" i="13"/>
  <c r="P285" i="13" s="1"/>
  <c r="L285" i="13"/>
  <c r="L283" i="13" s="1"/>
  <c r="O283" i="13" s="1"/>
  <c r="P284" i="13"/>
  <c r="O284" i="13"/>
  <c r="N282" i="13"/>
  <c r="M282" i="13"/>
  <c r="M280" i="13" s="1"/>
  <c r="L282" i="13"/>
  <c r="P281" i="13"/>
  <c r="O281" i="13"/>
  <c r="O278" i="13"/>
  <c r="N278" i="13"/>
  <c r="M278" i="13"/>
  <c r="P278" i="13" s="1"/>
  <c r="L278" i="13"/>
  <c r="J276" i="13"/>
  <c r="I271" i="13"/>
  <c r="K271" i="13" s="1"/>
  <c r="N269" i="13"/>
  <c r="N267" i="13" s="1"/>
  <c r="M269" i="13"/>
  <c r="P269" i="13" s="1"/>
  <c r="L269" i="13"/>
  <c r="O269" i="13" s="1"/>
  <c r="P268" i="13"/>
  <c r="O268" i="13"/>
  <c r="N266" i="13"/>
  <c r="M266" i="13"/>
  <c r="M264" i="13" s="1"/>
  <c r="L266" i="13"/>
  <c r="P265" i="13"/>
  <c r="O265" i="13"/>
  <c r="P262" i="13"/>
  <c r="N262" i="13"/>
  <c r="M262" i="13"/>
  <c r="L262" i="13"/>
  <c r="O262" i="13" s="1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N227" i="13" s="1"/>
  <c r="J237" i="13"/>
  <c r="J236" i="13"/>
  <c r="I236" i="13"/>
  <c r="K236" i="13" s="1"/>
  <c r="J235" i="13"/>
  <c r="I235" i="13"/>
  <c r="K235" i="13" s="1"/>
  <c r="J233" i="13"/>
  <c r="N231" i="13"/>
  <c r="N230" i="13"/>
  <c r="N229" i="13"/>
  <c r="N228" i="13"/>
  <c r="J226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M189" i="13"/>
  <c r="P189" i="13" s="1"/>
  <c r="L189" i="13"/>
  <c r="O189" i="13" s="1"/>
  <c r="P188" i="13"/>
  <c r="O188" i="13"/>
  <c r="N186" i="13"/>
  <c r="N184" i="13" s="1"/>
  <c r="M186" i="13"/>
  <c r="L186" i="13"/>
  <c r="P185" i="13"/>
  <c r="O185" i="13"/>
  <c r="P182" i="13"/>
  <c r="O182" i="13"/>
  <c r="N182" i="13"/>
  <c r="M182" i="13"/>
  <c r="L182" i="13"/>
  <c r="J180" i="13"/>
  <c r="J177" i="13"/>
  <c r="I176" i="13"/>
  <c r="J174" i="13"/>
  <c r="N173" i="13"/>
  <c r="N171" i="13" s="1"/>
  <c r="M173" i="13"/>
  <c r="M171" i="13" s="1"/>
  <c r="P171" i="13" s="1"/>
  <c r="L173" i="13"/>
  <c r="L171" i="13" s="1"/>
  <c r="O171" i="13" s="1"/>
  <c r="P172" i="13"/>
  <c r="O172" i="13"/>
  <c r="N170" i="13"/>
  <c r="M170" i="13"/>
  <c r="M168" i="13" s="1"/>
  <c r="L170" i="13"/>
  <c r="L168" i="13" s="1"/>
  <c r="P169" i="13"/>
  <c r="O169" i="13"/>
  <c r="P166" i="13"/>
  <c r="N166" i="13"/>
  <c r="M166" i="13"/>
  <c r="L166" i="13"/>
  <c r="J164" i="13"/>
  <c r="I159" i="13"/>
  <c r="K159" i="13" s="1"/>
  <c r="N157" i="13"/>
  <c r="M157" i="13"/>
  <c r="P157" i="13" s="1"/>
  <c r="L157" i="13"/>
  <c r="L155" i="13" s="1"/>
  <c r="O155" i="13" s="1"/>
  <c r="P156" i="13"/>
  <c r="O156" i="13"/>
  <c r="N154" i="13"/>
  <c r="N152" i="13" s="1"/>
  <c r="M154" i="13"/>
  <c r="P154" i="13" s="1"/>
  <c r="L154" i="13"/>
  <c r="O154" i="13" s="1"/>
  <c r="P153" i="13"/>
  <c r="O153" i="13"/>
  <c r="P150" i="13"/>
  <c r="N150" i="13"/>
  <c r="M150" i="13"/>
  <c r="L150" i="13"/>
  <c r="O150" i="13" s="1"/>
  <c r="J148" i="13"/>
  <c r="I146" i="13"/>
  <c r="K146" i="13" s="1"/>
  <c r="I145" i="13"/>
  <c r="I144" i="13"/>
  <c r="K144" i="13" s="1"/>
  <c r="N140" i="13"/>
  <c r="N138" i="13" s="1"/>
  <c r="M140" i="13"/>
  <c r="L140" i="13"/>
  <c r="L138" i="13" s="1"/>
  <c r="P139" i="13"/>
  <c r="O139" i="13"/>
  <c r="N137" i="13"/>
  <c r="N135" i="13" s="1"/>
  <c r="M137" i="13"/>
  <c r="L137" i="13"/>
  <c r="P136" i="13"/>
  <c r="O136" i="13"/>
  <c r="O133" i="13"/>
  <c r="N133" i="13"/>
  <c r="M133" i="13"/>
  <c r="P133" i="13" s="1"/>
  <c r="L133" i="13"/>
  <c r="J130" i="13"/>
  <c r="N127" i="13"/>
  <c r="N125" i="13" s="1"/>
  <c r="M127" i="13"/>
  <c r="P127" i="13" s="1"/>
  <c r="L127" i="13"/>
  <c r="O127" i="13" s="1"/>
  <c r="P126" i="13"/>
  <c r="O126" i="13"/>
  <c r="N124" i="13"/>
  <c r="M124" i="13"/>
  <c r="L124" i="13"/>
  <c r="O124" i="13" s="1"/>
  <c r="P123" i="13"/>
  <c r="O123" i="13"/>
  <c r="N120" i="13"/>
  <c r="M120" i="13"/>
  <c r="L120" i="13"/>
  <c r="O120" i="13" s="1"/>
  <c r="I116" i="13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J87" i="13" s="1"/>
  <c r="I99" i="13"/>
  <c r="I87" i="13" s="1"/>
  <c r="J98" i="13"/>
  <c r="I98" i="13"/>
  <c r="N96" i="13"/>
  <c r="N94" i="13" s="1"/>
  <c r="M96" i="13"/>
  <c r="P96" i="13" s="1"/>
  <c r="L96" i="13"/>
  <c r="O96" i="13" s="1"/>
  <c r="P95" i="13"/>
  <c r="O95" i="13"/>
  <c r="N93" i="13"/>
  <c r="M93" i="13"/>
  <c r="M91" i="13" s="1"/>
  <c r="L93" i="13"/>
  <c r="L91" i="13" s="1"/>
  <c r="P92" i="13"/>
  <c r="O92" i="13"/>
  <c r="P89" i="13"/>
  <c r="N89" i="13"/>
  <c r="M89" i="13"/>
  <c r="L89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K79" i="13" s="1"/>
  <c r="I78" i="13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L69" i="13" s="1"/>
  <c r="O69" i="13" s="1"/>
  <c r="P70" i="13"/>
  <c r="O70" i="13"/>
  <c r="O67" i="13"/>
  <c r="N67" i="13"/>
  <c r="M67" i="13"/>
  <c r="P67" i="13" s="1"/>
  <c r="L67" i="13"/>
  <c r="J65" i="13"/>
  <c r="N61" i="13"/>
  <c r="N59" i="13" s="1"/>
  <c r="M61" i="13"/>
  <c r="L61" i="13"/>
  <c r="L59" i="13" s="1"/>
  <c r="O59" i="13" s="1"/>
  <c r="P60" i="13"/>
  <c r="O60" i="13"/>
  <c r="N58" i="13"/>
  <c r="N56" i="13" s="1"/>
  <c r="M58" i="13"/>
  <c r="M56" i="13" s="1"/>
  <c r="L58" i="13"/>
  <c r="L56" i="13" s="1"/>
  <c r="P57" i="13"/>
  <c r="O57" i="13"/>
  <c r="N54" i="13"/>
  <c r="M54" i="13"/>
  <c r="P54" i="13" s="1"/>
  <c r="L54" i="13"/>
  <c r="N49" i="13"/>
  <c r="M49" i="13"/>
  <c r="L49" i="13"/>
  <c r="P48" i="13"/>
  <c r="O48" i="13"/>
  <c r="N46" i="13"/>
  <c r="M46" i="13"/>
  <c r="M44" i="13" s="1"/>
  <c r="L46" i="13"/>
  <c r="L44" i="13" s="1"/>
  <c r="P45" i="13"/>
  <c r="O45" i="13"/>
  <c r="O42" i="13"/>
  <c r="N42" i="13"/>
  <c r="M42" i="13"/>
  <c r="L42" i="13"/>
  <c r="N36" i="13"/>
  <c r="M36" i="13"/>
  <c r="P36" i="13" s="1"/>
  <c r="O35" i="13"/>
  <c r="N35" i="13"/>
  <c r="M35" i="13"/>
  <c r="M34" i="13" s="1"/>
  <c r="L35" i="13"/>
  <c r="P34" i="13"/>
  <c r="N34" i="13"/>
  <c r="N33" i="13"/>
  <c r="M33" i="13"/>
  <c r="P33" i="13" s="1"/>
  <c r="N32" i="13"/>
  <c r="N29" i="13" s="1"/>
  <c r="N28" i="13" s="1"/>
  <c r="M32" i="13"/>
  <c r="L32" i="13"/>
  <c r="O32" i="13" s="1"/>
  <c r="N31" i="13"/>
  <c r="N30" i="13"/>
  <c r="O29" i="13"/>
  <c r="M29" i="13"/>
  <c r="P29" i="13" s="1"/>
  <c r="L29" i="13"/>
  <c r="P25" i="13"/>
  <c r="N25" i="13"/>
  <c r="M25" i="13"/>
  <c r="L25" i="13"/>
  <c r="L19" i="13" s="1"/>
  <c r="O22" i="13"/>
  <c r="N22" i="13"/>
  <c r="M22" i="13"/>
  <c r="L22" i="13"/>
  <c r="N19" i="13"/>
  <c r="N15" i="13"/>
  <c r="M15" i="13"/>
  <c r="P15" i="13" s="1"/>
  <c r="L15" i="13"/>
  <c r="O15" i="13" s="1"/>
  <c r="L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P809" i="12"/>
  <c r="O809" i="12"/>
  <c r="O808" i="12"/>
  <c r="M808" i="12"/>
  <c r="P808" i="12" s="1"/>
  <c r="L808" i="12"/>
  <c r="M807" i="12"/>
  <c r="P807" i="12" s="1"/>
  <c r="L807" i="12"/>
  <c r="N806" i="12"/>
  <c r="M806" i="12"/>
  <c r="P806" i="12" s="1"/>
  <c r="L806" i="12"/>
  <c r="O806" i="12" s="1"/>
  <c r="P805" i="12"/>
  <c r="M805" i="12"/>
  <c r="K804" i="12"/>
  <c r="J804" i="12"/>
  <c r="K802" i="12"/>
  <c r="J801" i="12"/>
  <c r="J800" i="12"/>
  <c r="J785" i="12" s="1"/>
  <c r="I800" i="12"/>
  <c r="I785" i="12" s="1"/>
  <c r="P798" i="12"/>
  <c r="O798" i="12"/>
  <c r="P797" i="12"/>
  <c r="O797" i="12"/>
  <c r="P796" i="12"/>
  <c r="O796" i="12"/>
  <c r="N796" i="12"/>
  <c r="M796" i="12"/>
  <c r="L796" i="12"/>
  <c r="P791" i="12"/>
  <c r="N791" i="12"/>
  <c r="L791" i="12"/>
  <c r="L788" i="12" s="1"/>
  <c r="P790" i="12"/>
  <c r="O790" i="12"/>
  <c r="N789" i="12"/>
  <c r="M789" i="12"/>
  <c r="P789" i="12" s="1"/>
  <c r="N788" i="12"/>
  <c r="M788" i="12"/>
  <c r="P788" i="12" s="1"/>
  <c r="N787" i="12"/>
  <c r="N786" i="12" s="1"/>
  <c r="M787" i="12"/>
  <c r="P787" i="12" s="1"/>
  <c r="L787" i="12"/>
  <c r="O787" i="12" s="1"/>
  <c r="P786" i="12"/>
  <c r="M786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2" i="12" s="1"/>
  <c r="N770" i="12" s="1"/>
  <c r="P774" i="12"/>
  <c r="O774" i="12"/>
  <c r="P773" i="12"/>
  <c r="O773" i="12"/>
  <c r="N773" i="12"/>
  <c r="M773" i="12"/>
  <c r="L773" i="12"/>
  <c r="O772" i="12"/>
  <c r="M772" i="12"/>
  <c r="L772" i="12"/>
  <c r="N771" i="12"/>
  <c r="M771" i="12"/>
  <c r="P771" i="12" s="1"/>
  <c r="L771" i="12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6" i="12" s="1"/>
  <c r="N754" i="12" s="1"/>
  <c r="P758" i="12"/>
  <c r="O758" i="12"/>
  <c r="P757" i="12"/>
  <c r="O757" i="12"/>
  <c r="N757" i="12"/>
  <c r="M757" i="12"/>
  <c r="L757" i="12"/>
  <c r="O756" i="12"/>
  <c r="M756" i="12"/>
  <c r="L756" i="12"/>
  <c r="N755" i="12"/>
  <c r="M755" i="12"/>
  <c r="P755" i="12" s="1"/>
  <c r="L755" i="12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39" i="12" s="1"/>
  <c r="N737" i="12" s="1"/>
  <c r="P741" i="12"/>
  <c r="O741" i="12"/>
  <c r="P740" i="12"/>
  <c r="O740" i="12"/>
  <c r="N740" i="12"/>
  <c r="M740" i="12"/>
  <c r="L740" i="12"/>
  <c r="O739" i="12"/>
  <c r="M739" i="12"/>
  <c r="L739" i="12"/>
  <c r="N738" i="12"/>
  <c r="M738" i="12"/>
  <c r="P738" i="12" s="1"/>
  <c r="L738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N688" i="12" s="1"/>
  <c r="L690" i="12"/>
  <c r="O690" i="12" s="1"/>
  <c r="M688" i="12"/>
  <c r="P688" i="12" s="1"/>
  <c r="N687" i="12"/>
  <c r="M687" i="12"/>
  <c r="P687" i="12" s="1"/>
  <c r="N686" i="12"/>
  <c r="N685" i="12" s="1"/>
  <c r="M686" i="12"/>
  <c r="P686" i="12" s="1"/>
  <c r="L686" i="12"/>
  <c r="O686" i="12" s="1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K674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L660" i="12"/>
  <c r="O660" i="12" s="1"/>
  <c r="P659" i="12"/>
  <c r="O659" i="12"/>
  <c r="P658" i="12"/>
  <c r="N658" i="12"/>
  <c r="M658" i="12"/>
  <c r="N657" i="12"/>
  <c r="M657" i="12"/>
  <c r="P657" i="12" s="1"/>
  <c r="P656" i="12"/>
  <c r="N656" i="12"/>
  <c r="N655" i="12" s="1"/>
  <c r="M656" i="12"/>
  <c r="L656" i="12"/>
  <c r="O656" i="12" s="1"/>
  <c r="M655" i="12"/>
  <c r="P655" i="12" s="1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P640" i="12"/>
  <c r="O640" i="12"/>
  <c r="N639" i="12"/>
  <c r="M639" i="12"/>
  <c r="P639" i="12" s="1"/>
  <c r="P634" i="12"/>
  <c r="N634" i="12"/>
  <c r="L634" i="12"/>
  <c r="L632" i="12" s="1"/>
  <c r="O632" i="12" s="1"/>
  <c r="P633" i="12"/>
  <c r="O633" i="12"/>
  <c r="N632" i="12"/>
  <c r="M632" i="12"/>
  <c r="P632" i="12" s="1"/>
  <c r="N631" i="12"/>
  <c r="N629" i="12" s="1"/>
  <c r="M631" i="12"/>
  <c r="P631" i="12" s="1"/>
  <c r="P630" i="12"/>
  <c r="N630" i="12"/>
  <c r="M630" i="12"/>
  <c r="M629" i="12" s="1"/>
  <c r="P629" i="12" s="1"/>
  <c r="L630" i="12"/>
  <c r="O630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4" i="12"/>
  <c r="I594" i="12"/>
  <c r="K594" i="12" s="1"/>
  <c r="J593" i="12"/>
  <c r="I593" i="12"/>
  <c r="I592" i="12" s="1"/>
  <c r="K592" i="12" s="1"/>
  <c r="J592" i="12"/>
  <c r="J583" i="12"/>
  <c r="J582" i="12"/>
  <c r="J576" i="12" s="1"/>
  <c r="J559" i="12" s="1"/>
  <c r="J543" i="12" s="1"/>
  <c r="J577" i="12"/>
  <c r="I577" i="12"/>
  <c r="K577" i="12" s="1"/>
  <c r="I576" i="12"/>
  <c r="K576" i="12" s="1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M555" i="12"/>
  <c r="P549" i="12"/>
  <c r="N549" i="12"/>
  <c r="L549" i="12"/>
  <c r="L547" i="12" s="1"/>
  <c r="O547" i="12" s="1"/>
  <c r="P548" i="12"/>
  <c r="O548" i="12"/>
  <c r="N547" i="12"/>
  <c r="M547" i="12"/>
  <c r="P547" i="12" s="1"/>
  <c r="P546" i="12"/>
  <c r="N546" i="12"/>
  <c r="N544" i="12" s="1"/>
  <c r="M546" i="12"/>
  <c r="P545" i="12"/>
  <c r="O545" i="12"/>
  <c r="N545" i="12"/>
  <c r="M545" i="12"/>
  <c r="M544" i="12" s="1"/>
  <c r="P544" i="12" s="1"/>
  <c r="L545" i="12"/>
  <c r="I542" i="12"/>
  <c r="K542" i="12" s="1"/>
  <c r="I541" i="12"/>
  <c r="K541" i="12" s="1"/>
  <c r="I540" i="12"/>
  <c r="I539" i="12"/>
  <c r="K539" i="12" s="1"/>
  <c r="I538" i="12"/>
  <c r="K538" i="12" s="1"/>
  <c r="I537" i="12"/>
  <c r="P535" i="12"/>
  <c r="L535" i="12"/>
  <c r="P534" i="12"/>
  <c r="O534" i="12"/>
  <c r="P533" i="12"/>
  <c r="N533" i="12"/>
  <c r="M533" i="12"/>
  <c r="P528" i="12"/>
  <c r="N528" i="12"/>
  <c r="L528" i="12"/>
  <c r="L526" i="12" s="1"/>
  <c r="O526" i="12" s="1"/>
  <c r="P527" i="12"/>
  <c r="O527" i="12"/>
  <c r="P526" i="12"/>
  <c r="N526" i="12"/>
  <c r="M526" i="12"/>
  <c r="N525" i="12"/>
  <c r="M525" i="12"/>
  <c r="P525" i="12" s="1"/>
  <c r="N524" i="12"/>
  <c r="N523" i="12" s="1"/>
  <c r="M524" i="12"/>
  <c r="P524" i="12" s="1"/>
  <c r="L524" i="12"/>
  <c r="O524" i="12" s="1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N504" i="12" s="1"/>
  <c r="P506" i="12"/>
  <c r="O506" i="12"/>
  <c r="N505" i="12"/>
  <c r="M505" i="12"/>
  <c r="P505" i="12" s="1"/>
  <c r="L505" i="12"/>
  <c r="O505" i="12" s="1"/>
  <c r="M504" i="12"/>
  <c r="L504" i="12"/>
  <c r="O504" i="12" s="1"/>
  <c r="O503" i="12"/>
  <c r="N503" i="12"/>
  <c r="M503" i="12"/>
  <c r="P503" i="12" s="1"/>
  <c r="L503" i="12"/>
  <c r="N502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P472" i="12"/>
  <c r="N472" i="12"/>
  <c r="N469" i="12" s="1"/>
  <c r="L472" i="12"/>
  <c r="P471" i="12"/>
  <c r="O471" i="12"/>
  <c r="M470" i="12"/>
  <c r="P470" i="12" s="1"/>
  <c r="P469" i="12"/>
  <c r="M469" i="12"/>
  <c r="M467" i="12" s="1"/>
  <c r="N468" i="12"/>
  <c r="M468" i="12"/>
  <c r="P468" i="12" s="1"/>
  <c r="L468" i="12"/>
  <c r="P467" i="12"/>
  <c r="N467" i="12"/>
  <c r="J466" i="12"/>
  <c r="I466" i="12"/>
  <c r="J465" i="12"/>
  <c r="I465" i="12"/>
  <c r="K465" i="12" s="1"/>
  <c r="I464" i="12"/>
  <c r="I463" i="12"/>
  <c r="I462" i="12"/>
  <c r="K462" i="12" s="1"/>
  <c r="I460" i="12"/>
  <c r="K460" i="12" s="1"/>
  <c r="K458" i="12"/>
  <c r="P456" i="12"/>
  <c r="L456" i="12"/>
  <c r="P455" i="12"/>
  <c r="O455" i="12"/>
  <c r="N454" i="12"/>
  <c r="M454" i="12"/>
  <c r="P454" i="12" s="1"/>
  <c r="P449" i="12"/>
  <c r="N449" i="12"/>
  <c r="L449" i="12"/>
  <c r="P448" i="12"/>
  <c r="O448" i="12"/>
  <c r="N447" i="12"/>
  <c r="M447" i="12"/>
  <c r="P447" i="12" s="1"/>
  <c r="N446" i="12"/>
  <c r="N444" i="12" s="1"/>
  <c r="M446" i="12"/>
  <c r="P446" i="12" s="1"/>
  <c r="P445" i="12"/>
  <c r="N445" i="12"/>
  <c r="M445" i="12"/>
  <c r="L445" i="12"/>
  <c r="O445" i="12" s="1"/>
  <c r="J443" i="12"/>
  <c r="J442" i="12"/>
  <c r="I441" i="12"/>
  <c r="K441" i="12" s="1"/>
  <c r="I440" i="12"/>
  <c r="I439" i="12"/>
  <c r="K439" i="12" s="1"/>
  <c r="I438" i="12"/>
  <c r="K438" i="12" s="1"/>
  <c r="I437" i="12"/>
  <c r="K437" i="12" s="1"/>
  <c r="I435" i="12"/>
  <c r="I433" i="12" s="1"/>
  <c r="I417" i="12" s="1"/>
  <c r="J434" i="12"/>
  <c r="P431" i="12"/>
  <c r="L431" i="12"/>
  <c r="P430" i="12"/>
  <c r="O430" i="12"/>
  <c r="P429" i="12"/>
  <c r="N429" i="12"/>
  <c r="M429" i="12"/>
  <c r="P424" i="12"/>
  <c r="N424" i="12"/>
  <c r="N421" i="12" s="1"/>
  <c r="N419" i="12" s="1"/>
  <c r="L424" i="12"/>
  <c r="L422" i="12" s="1"/>
  <c r="P423" i="12"/>
  <c r="O423" i="12"/>
  <c r="M422" i="12"/>
  <c r="P422" i="12" s="1"/>
  <c r="M421" i="12"/>
  <c r="P421" i="12" s="1"/>
  <c r="P420" i="12"/>
  <c r="N420" i="12"/>
  <c r="M420" i="12"/>
  <c r="M419" i="12" s="1"/>
  <c r="L420" i="12"/>
  <c r="O420" i="12" s="1"/>
  <c r="J418" i="12"/>
  <c r="K413" i="12"/>
  <c r="K412" i="12"/>
  <c r="N410" i="12"/>
  <c r="N408" i="12" s="1"/>
  <c r="M410" i="12"/>
  <c r="P410" i="12" s="1"/>
  <c r="L410" i="12"/>
  <c r="O410" i="12" s="1"/>
  <c r="P409" i="12"/>
  <c r="O409" i="12"/>
  <c r="N407" i="12"/>
  <c r="N405" i="12" s="1"/>
  <c r="M407" i="12"/>
  <c r="P407" i="12" s="1"/>
  <c r="L407" i="12"/>
  <c r="P406" i="12"/>
  <c r="O406" i="12"/>
  <c r="P403" i="12"/>
  <c r="N403" i="12"/>
  <c r="M403" i="12"/>
  <c r="L403" i="12"/>
  <c r="O403" i="12" s="1"/>
  <c r="J401" i="12"/>
  <c r="I401" i="12"/>
  <c r="K401" i="12" s="1"/>
  <c r="K400" i="12"/>
  <c r="K399" i="12"/>
  <c r="N397" i="12"/>
  <c r="N395" i="12" s="1"/>
  <c r="M397" i="12"/>
  <c r="M395" i="12" s="1"/>
  <c r="P395" i="12" s="1"/>
  <c r="L397" i="12"/>
  <c r="O397" i="12" s="1"/>
  <c r="P396" i="12"/>
  <c r="O396" i="12"/>
  <c r="N394" i="12"/>
  <c r="N392" i="12" s="1"/>
  <c r="M394" i="12"/>
  <c r="M392" i="12" s="1"/>
  <c r="P392" i="12" s="1"/>
  <c r="L394" i="12"/>
  <c r="O394" i="12" s="1"/>
  <c r="P393" i="12"/>
  <c r="O393" i="12"/>
  <c r="N390" i="12"/>
  <c r="M390" i="12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M350" i="12"/>
  <c r="M348" i="12" s="1"/>
  <c r="L350" i="12"/>
  <c r="L348" i="12" s="1"/>
  <c r="P349" i="12"/>
  <c r="O349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M334" i="12" s="1"/>
  <c r="P334" i="12" s="1"/>
  <c r="L336" i="12"/>
  <c r="O336" i="12" s="1"/>
  <c r="P335" i="12"/>
  <c r="O335" i="12"/>
  <c r="N333" i="12"/>
  <c r="M333" i="12"/>
  <c r="L333" i="12"/>
  <c r="L331" i="12" s="1"/>
  <c r="P332" i="12"/>
  <c r="O332" i="12"/>
  <c r="P329" i="12"/>
  <c r="N329" i="12"/>
  <c r="M329" i="12"/>
  <c r="L329" i="12"/>
  <c r="I327" i="12"/>
  <c r="I325" i="12"/>
  <c r="K325" i="12" s="1"/>
  <c r="N323" i="12"/>
  <c r="M323" i="12"/>
  <c r="P323" i="12" s="1"/>
  <c r="L323" i="12"/>
  <c r="L321" i="12" s="1"/>
  <c r="O321" i="12" s="1"/>
  <c r="P322" i="12"/>
  <c r="O322" i="12"/>
  <c r="N320" i="12"/>
  <c r="N318" i="12" s="1"/>
  <c r="M320" i="12"/>
  <c r="P320" i="12" s="1"/>
  <c r="L320" i="12"/>
  <c r="P319" i="12"/>
  <c r="O319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P305" i="12"/>
  <c r="O305" i="12"/>
  <c r="N303" i="12"/>
  <c r="M303" i="12"/>
  <c r="L303" i="12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I287" i="12"/>
  <c r="K287" i="12" s="1"/>
  <c r="N285" i="12"/>
  <c r="N283" i="12" s="1"/>
  <c r="M285" i="12"/>
  <c r="M283" i="12" s="1"/>
  <c r="P283" i="12" s="1"/>
  <c r="L285" i="12"/>
  <c r="O285" i="12" s="1"/>
  <c r="P284" i="12"/>
  <c r="O284" i="12"/>
  <c r="N282" i="12"/>
  <c r="N280" i="12" s="1"/>
  <c r="M282" i="12"/>
  <c r="M280" i="12" s="1"/>
  <c r="L282" i="12"/>
  <c r="L280" i="12" s="1"/>
  <c r="P281" i="12"/>
  <c r="O281" i="12"/>
  <c r="P278" i="12"/>
  <c r="N278" i="12"/>
  <c r="M278" i="12"/>
  <c r="L278" i="12"/>
  <c r="O278" i="12" s="1"/>
  <c r="J276" i="12"/>
  <c r="I271" i="12"/>
  <c r="I260" i="12" s="1"/>
  <c r="N269" i="12"/>
  <c r="N267" i="12" s="1"/>
  <c r="M269" i="12"/>
  <c r="M267" i="12" s="1"/>
  <c r="P267" i="12" s="1"/>
  <c r="L269" i="12"/>
  <c r="L267" i="12" s="1"/>
  <c r="O267" i="12" s="1"/>
  <c r="P268" i="12"/>
  <c r="O268" i="12"/>
  <c r="N266" i="12"/>
  <c r="M266" i="12"/>
  <c r="M264" i="12" s="1"/>
  <c r="L266" i="12"/>
  <c r="L264" i="12" s="1"/>
  <c r="P265" i="12"/>
  <c r="O265" i="12"/>
  <c r="N262" i="12"/>
  <c r="M262" i="12"/>
  <c r="P262" i="12" s="1"/>
  <c r="L262" i="12"/>
  <c r="O262" i="12" s="1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N227" i="12" s="1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J226" i="12"/>
  <c r="J180" i="12" s="1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L186" i="12"/>
  <c r="L184" i="12" s="1"/>
  <c r="P185" i="12"/>
  <c r="O185" i="12"/>
  <c r="P182" i="12"/>
  <c r="O182" i="12"/>
  <c r="N182" i="12"/>
  <c r="M182" i="12"/>
  <c r="L182" i="12"/>
  <c r="K180" i="12"/>
  <c r="J177" i="12"/>
  <c r="I176" i="12"/>
  <c r="I174" i="12" s="1"/>
  <c r="I164" i="12" s="1"/>
  <c r="K164" i="12" s="1"/>
  <c r="J174" i="12"/>
  <c r="N173" i="12"/>
  <c r="N171" i="12" s="1"/>
  <c r="M173" i="12"/>
  <c r="L173" i="12"/>
  <c r="O173" i="12" s="1"/>
  <c r="P172" i="12"/>
  <c r="O172" i="12"/>
  <c r="N170" i="12"/>
  <c r="N168" i="12" s="1"/>
  <c r="M170" i="12"/>
  <c r="M168" i="12" s="1"/>
  <c r="L170" i="12"/>
  <c r="P169" i="12"/>
  <c r="O169" i="12"/>
  <c r="P166" i="12"/>
  <c r="N166" i="12"/>
  <c r="M166" i="12"/>
  <c r="L166" i="12"/>
  <c r="J164" i="12"/>
  <c r="I159" i="12"/>
  <c r="I148" i="12" s="1"/>
  <c r="K148" i="12" s="1"/>
  <c r="N157" i="12"/>
  <c r="N155" i="12" s="1"/>
  <c r="M157" i="12"/>
  <c r="P157" i="12" s="1"/>
  <c r="L157" i="12"/>
  <c r="O157" i="12" s="1"/>
  <c r="P156" i="12"/>
  <c r="O156" i="12"/>
  <c r="N154" i="12"/>
  <c r="M154" i="12"/>
  <c r="L154" i="12"/>
  <c r="P153" i="12"/>
  <c r="O153" i="12"/>
  <c r="P150" i="12"/>
  <c r="N150" i="12"/>
  <c r="M150" i="12"/>
  <c r="L150" i="12"/>
  <c r="O150" i="12" s="1"/>
  <c r="J148" i="12"/>
  <c r="I146" i="12"/>
  <c r="K146" i="12" s="1"/>
  <c r="I145" i="12"/>
  <c r="I143" i="12" s="1"/>
  <c r="I144" i="12"/>
  <c r="N140" i="12"/>
  <c r="N138" i="12" s="1"/>
  <c r="M140" i="12"/>
  <c r="M138" i="12" s="1"/>
  <c r="P138" i="12" s="1"/>
  <c r="L140" i="12"/>
  <c r="O140" i="12" s="1"/>
  <c r="P139" i="12"/>
  <c r="O139" i="12"/>
  <c r="N137" i="12"/>
  <c r="N135" i="12" s="1"/>
  <c r="M137" i="12"/>
  <c r="P137" i="12" s="1"/>
  <c r="L137" i="12"/>
  <c r="L135" i="12" s="1"/>
  <c r="O135" i="12" s="1"/>
  <c r="P136" i="12"/>
  <c r="O136" i="12"/>
  <c r="O133" i="12"/>
  <c r="N133" i="12"/>
  <c r="M133" i="12"/>
  <c r="P133" i="12" s="1"/>
  <c r="L133" i="12"/>
  <c r="J130" i="12"/>
  <c r="N127" i="12"/>
  <c r="N125" i="12" s="1"/>
  <c r="M127" i="12"/>
  <c r="P127" i="12" s="1"/>
  <c r="L127" i="12"/>
  <c r="L125" i="12" s="1"/>
  <c r="O125" i="12" s="1"/>
  <c r="P126" i="12"/>
  <c r="O126" i="12"/>
  <c r="N124" i="12"/>
  <c r="M124" i="12"/>
  <c r="L124" i="12"/>
  <c r="L122" i="12" s="1"/>
  <c r="O122" i="12" s="1"/>
  <c r="P123" i="12"/>
  <c r="O123" i="12"/>
  <c r="P120" i="12"/>
  <c r="N120" i="12"/>
  <c r="M120" i="12"/>
  <c r="L120" i="12"/>
  <c r="O120" i="12" s="1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J98" i="12"/>
  <c r="I98" i="12"/>
  <c r="I86" i="12" s="1"/>
  <c r="N96" i="12"/>
  <c r="N94" i="12" s="1"/>
  <c r="M96" i="12"/>
  <c r="M94" i="12" s="1"/>
  <c r="P94" i="12" s="1"/>
  <c r="L96" i="12"/>
  <c r="O96" i="12" s="1"/>
  <c r="P95" i="12"/>
  <c r="O95" i="12"/>
  <c r="N93" i="12"/>
  <c r="N91" i="12" s="1"/>
  <c r="M93" i="12"/>
  <c r="L93" i="12"/>
  <c r="L91" i="12" s="1"/>
  <c r="P92" i="12"/>
  <c r="O92" i="12"/>
  <c r="P89" i="12"/>
  <c r="N89" i="12"/>
  <c r="M89" i="12"/>
  <c r="L89" i="12"/>
  <c r="J86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76" i="12"/>
  <c r="N74" i="12"/>
  <c r="N72" i="12" s="1"/>
  <c r="M74" i="12"/>
  <c r="P74" i="12" s="1"/>
  <c r="L74" i="12"/>
  <c r="O74" i="12" s="1"/>
  <c r="P73" i="12"/>
  <c r="O73" i="12"/>
  <c r="N71" i="12"/>
  <c r="M71" i="12"/>
  <c r="M69" i="12" s="1"/>
  <c r="L71" i="12"/>
  <c r="L69" i="12" s="1"/>
  <c r="P70" i="12"/>
  <c r="O70" i="12"/>
  <c r="O67" i="12"/>
  <c r="N67" i="12"/>
  <c r="M67" i="12"/>
  <c r="L67" i="12"/>
  <c r="J65" i="12"/>
  <c r="J64" i="12"/>
  <c r="N61" i="12"/>
  <c r="N59" i="12" s="1"/>
  <c r="M61" i="12"/>
  <c r="L61" i="12"/>
  <c r="L59" i="12" s="1"/>
  <c r="P60" i="12"/>
  <c r="O60" i="12"/>
  <c r="N58" i="12"/>
  <c r="M58" i="12"/>
  <c r="L58" i="12"/>
  <c r="P57" i="12"/>
  <c r="O57" i="12"/>
  <c r="N54" i="12"/>
  <c r="M54" i="12"/>
  <c r="P54" i="12" s="1"/>
  <c r="L54" i="12"/>
  <c r="O54" i="12" s="1"/>
  <c r="N49" i="12"/>
  <c r="N47" i="12" s="1"/>
  <c r="M49" i="12"/>
  <c r="P49" i="12" s="1"/>
  <c r="L49" i="12"/>
  <c r="P48" i="12"/>
  <c r="O48" i="12"/>
  <c r="N46" i="12"/>
  <c r="N44" i="12" s="1"/>
  <c r="M46" i="12"/>
  <c r="L46" i="12"/>
  <c r="P45" i="12"/>
  <c r="O45" i="12"/>
  <c r="O42" i="12"/>
  <c r="N42" i="12"/>
  <c r="M42" i="12"/>
  <c r="L42" i="12"/>
  <c r="P36" i="12"/>
  <c r="N36" i="12"/>
  <c r="N34" i="12" s="1"/>
  <c r="M36" i="12"/>
  <c r="O35" i="12"/>
  <c r="N35" i="12"/>
  <c r="M35" i="12"/>
  <c r="M34" i="12" s="1"/>
  <c r="P34" i="12" s="1"/>
  <c r="L35" i="12"/>
  <c r="N33" i="12"/>
  <c r="M33" i="12"/>
  <c r="P32" i="12"/>
  <c r="N32" i="12"/>
  <c r="N31" i="12" s="1"/>
  <c r="M32" i="12"/>
  <c r="M29" i="12" s="1"/>
  <c r="L32" i="12"/>
  <c r="P25" i="12"/>
  <c r="N25" i="12"/>
  <c r="M25" i="12"/>
  <c r="L25" i="12"/>
  <c r="O22" i="12"/>
  <c r="N22" i="12"/>
  <c r="M22" i="12"/>
  <c r="P22" i="12" s="1"/>
  <c r="L22" i="12"/>
  <c r="N19" i="12"/>
  <c r="L19" i="12"/>
  <c r="O19" i="12" s="1"/>
  <c r="N12" i="12"/>
  <c r="L12" i="12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O808" i="11"/>
  <c r="M808" i="11"/>
  <c r="P808" i="11" s="1"/>
  <c r="L808" i="11"/>
  <c r="M807" i="11"/>
  <c r="P807" i="11" s="1"/>
  <c r="L807" i="11"/>
  <c r="N806" i="11"/>
  <c r="M806" i="11"/>
  <c r="P806" i="11" s="1"/>
  <c r="L806" i="11"/>
  <c r="O806" i="11" s="1"/>
  <c r="P805" i="11"/>
  <c r="M805" i="11"/>
  <c r="K804" i="11"/>
  <c r="J804" i="11"/>
  <c r="K802" i="11"/>
  <c r="J801" i="11"/>
  <c r="J800" i="11"/>
  <c r="J785" i="11" s="1"/>
  <c r="I800" i="11"/>
  <c r="K800" i="11" s="1"/>
  <c r="P798" i="11"/>
  <c r="O798" i="11"/>
  <c r="P797" i="11"/>
  <c r="O797" i="11"/>
  <c r="P796" i="11"/>
  <c r="O796" i="11"/>
  <c r="N796" i="11"/>
  <c r="M796" i="11"/>
  <c r="L796" i="11"/>
  <c r="P791" i="11"/>
  <c r="N791" i="11"/>
  <c r="L791" i="11"/>
  <c r="L788" i="11" s="1"/>
  <c r="P790" i="11"/>
  <c r="O790" i="11"/>
  <c r="N789" i="11"/>
  <c r="M789" i="11"/>
  <c r="P789" i="11" s="1"/>
  <c r="N788" i="11"/>
  <c r="M788" i="11"/>
  <c r="P788" i="11" s="1"/>
  <c r="N787" i="11"/>
  <c r="N786" i="11" s="1"/>
  <c r="M787" i="11"/>
  <c r="P787" i="11" s="1"/>
  <c r="L787" i="11"/>
  <c r="O787" i="11" s="1"/>
  <c r="P786" i="11"/>
  <c r="M786" i="11"/>
  <c r="I785" i="11"/>
  <c r="K785" i="11" s="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N772" i="11" s="1"/>
  <c r="N770" i="11" s="1"/>
  <c r="P774" i="11"/>
  <c r="O774" i="11"/>
  <c r="P773" i="11"/>
  <c r="O773" i="11"/>
  <c r="N773" i="11"/>
  <c r="M773" i="11"/>
  <c r="L773" i="11"/>
  <c r="O772" i="11"/>
  <c r="M772" i="11"/>
  <c r="L772" i="11"/>
  <c r="N771" i="11"/>
  <c r="M771" i="11"/>
  <c r="P771" i="11" s="1"/>
  <c r="L771" i="1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6" i="11" s="1"/>
  <c r="N754" i="11" s="1"/>
  <c r="P758" i="11"/>
  <c r="O758" i="11"/>
  <c r="P757" i="11"/>
  <c r="O757" i="11"/>
  <c r="N757" i="11"/>
  <c r="M757" i="11"/>
  <c r="L757" i="11"/>
  <c r="O756" i="11"/>
  <c r="M756" i="11"/>
  <c r="L756" i="11"/>
  <c r="N755" i="11"/>
  <c r="M755" i="11"/>
  <c r="P755" i="11" s="1"/>
  <c r="L755" i="1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39" i="11" s="1"/>
  <c r="N737" i="11" s="1"/>
  <c r="P741" i="11"/>
  <c r="O741" i="11"/>
  <c r="P740" i="11"/>
  <c r="O740" i="11"/>
  <c r="N740" i="11"/>
  <c r="M740" i="11"/>
  <c r="L740" i="11"/>
  <c r="O739" i="11"/>
  <c r="M739" i="11"/>
  <c r="L739" i="11"/>
  <c r="N738" i="11"/>
  <c r="M738" i="11"/>
  <c r="P738" i="11" s="1"/>
  <c r="L738" i="1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N695" i="11"/>
  <c r="M695" i="11"/>
  <c r="L695" i="11"/>
  <c r="O695" i="11" s="1"/>
  <c r="P690" i="11"/>
  <c r="N690" i="11"/>
  <c r="N688" i="11" s="1"/>
  <c r="L690" i="11"/>
  <c r="L688" i="11" s="1"/>
  <c r="O688" i="11" s="1"/>
  <c r="M688" i="11"/>
  <c r="P688" i="11" s="1"/>
  <c r="N687" i="11"/>
  <c r="M687" i="11"/>
  <c r="P687" i="11" s="1"/>
  <c r="N686" i="11"/>
  <c r="N685" i="11" s="1"/>
  <c r="M686" i="11"/>
  <c r="P686" i="11" s="1"/>
  <c r="L686" i="11"/>
  <c r="O686" i="11" s="1"/>
  <c r="P685" i="11"/>
  <c r="M685" i="11"/>
  <c r="J679" i="11"/>
  <c r="J678" i="11"/>
  <c r="I678" i="11"/>
  <c r="K678" i="11" s="1"/>
  <c r="J675" i="11"/>
  <c r="J669" i="11" s="1"/>
  <c r="J654" i="11" s="1"/>
  <c r="I671" i="11"/>
  <c r="K671" i="11" s="1"/>
  <c r="I670" i="11"/>
  <c r="K670" i="11" s="1"/>
  <c r="I669" i="11"/>
  <c r="K674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O660" i="11" s="1"/>
  <c r="P659" i="11"/>
  <c r="O659" i="11"/>
  <c r="P658" i="11"/>
  <c r="N658" i="11"/>
  <c r="M658" i="11"/>
  <c r="P657" i="11"/>
  <c r="N657" i="11"/>
  <c r="M657" i="11"/>
  <c r="P656" i="11"/>
  <c r="O656" i="11"/>
  <c r="N656" i="11"/>
  <c r="N655" i="11" s="1"/>
  <c r="M656" i="11"/>
  <c r="L656" i="11"/>
  <c r="M655" i="11"/>
  <c r="P655" i="11" s="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8" i="11"/>
  <c r="P634" i="11"/>
  <c r="N634" i="11"/>
  <c r="L634" i="11"/>
  <c r="P633" i="11"/>
  <c r="O633" i="11"/>
  <c r="N632" i="11"/>
  <c r="M632" i="11"/>
  <c r="P632" i="11" s="1"/>
  <c r="N631" i="11"/>
  <c r="M631" i="11"/>
  <c r="P631" i="11" s="1"/>
  <c r="N630" i="11"/>
  <c r="N629" i="11" s="1"/>
  <c r="M630" i="11"/>
  <c r="P630" i="11" s="1"/>
  <c r="L630" i="11"/>
  <c r="O630" i="11" s="1"/>
  <c r="P629" i="11"/>
  <c r="M629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6" i="11"/>
  <c r="J594" i="11" s="1"/>
  <c r="J595" i="11"/>
  <c r="I594" i="11"/>
  <c r="K594" i="11" s="1"/>
  <c r="I593" i="11"/>
  <c r="I592" i="11" s="1"/>
  <c r="J583" i="11"/>
  <c r="J582" i="11"/>
  <c r="J577" i="11"/>
  <c r="I577" i="11"/>
  <c r="J576" i="11"/>
  <c r="I576" i="11"/>
  <c r="I559" i="11" s="1"/>
  <c r="J569" i="11"/>
  <c r="I569" i="11"/>
  <c r="K569" i="11" s="1"/>
  <c r="J568" i="11"/>
  <c r="I568" i="11"/>
  <c r="K568" i="11" s="1"/>
  <c r="J561" i="11"/>
  <c r="I561" i="11"/>
  <c r="J560" i="11"/>
  <c r="I560" i="11"/>
  <c r="K560" i="11" s="1"/>
  <c r="J559" i="11"/>
  <c r="J543" i="11" s="1"/>
  <c r="P557" i="11"/>
  <c r="L557" i="11"/>
  <c r="O557" i="11" s="1"/>
  <c r="P556" i="11"/>
  <c r="O556" i="11"/>
  <c r="N555" i="11"/>
  <c r="N545" i="11" s="1"/>
  <c r="M555" i="11"/>
  <c r="P555" i="11" s="1"/>
  <c r="N553" i="11"/>
  <c r="N549" i="11" s="1"/>
  <c r="P549" i="11"/>
  <c r="L549" i="11"/>
  <c r="O549" i="11" s="1"/>
  <c r="P548" i="11"/>
  <c r="O548" i="11"/>
  <c r="M547" i="11"/>
  <c r="P547" i="11" s="1"/>
  <c r="P546" i="11"/>
  <c r="M546" i="11"/>
  <c r="O545" i="11"/>
  <c r="L545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O535" i="11" s="1"/>
  <c r="P534" i="11"/>
  <c r="O534" i="11"/>
  <c r="P533" i="11"/>
  <c r="N533" i="11"/>
  <c r="M533" i="11"/>
  <c r="P528" i="11"/>
  <c r="N528" i="11"/>
  <c r="L528" i="11"/>
  <c r="O528" i="11" s="1"/>
  <c r="P527" i="11"/>
  <c r="O527" i="11"/>
  <c r="P526" i="11"/>
  <c r="N526" i="11"/>
  <c r="M526" i="11"/>
  <c r="L526" i="11"/>
  <c r="O526" i="11" s="1"/>
  <c r="P525" i="11"/>
  <c r="N525" i="11"/>
  <c r="N523" i="11" s="1"/>
  <c r="M525" i="11"/>
  <c r="O524" i="11"/>
  <c r="N524" i="11"/>
  <c r="M524" i="11"/>
  <c r="L524" i="11"/>
  <c r="K517" i="11"/>
  <c r="J517" i="1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P506" i="11"/>
  <c r="O506" i="11"/>
  <c r="O505" i="11"/>
  <c r="M505" i="11"/>
  <c r="P505" i="11" s="1"/>
  <c r="L505" i="11"/>
  <c r="M504" i="11"/>
  <c r="P504" i="11" s="1"/>
  <c r="L504" i="11"/>
  <c r="N503" i="11"/>
  <c r="M503" i="11"/>
  <c r="P503" i="11" s="1"/>
  <c r="L503" i="11"/>
  <c r="O503" i="11" s="1"/>
  <c r="P502" i="11"/>
  <c r="M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P477" i="11"/>
  <c r="N477" i="11"/>
  <c r="M477" i="11"/>
  <c r="P472" i="11"/>
  <c r="N472" i="11"/>
  <c r="L472" i="11"/>
  <c r="P471" i="11"/>
  <c r="O471" i="11"/>
  <c r="N470" i="11"/>
  <c r="M470" i="11"/>
  <c r="P470" i="11" s="1"/>
  <c r="N469" i="11"/>
  <c r="M469" i="11"/>
  <c r="P469" i="11" s="1"/>
  <c r="N468" i="11"/>
  <c r="N467" i="11" s="1"/>
  <c r="M468" i="11"/>
  <c r="P468" i="11" s="1"/>
  <c r="L468" i="11"/>
  <c r="O468" i="11" s="1"/>
  <c r="P467" i="11"/>
  <c r="M467" i="11"/>
  <c r="J466" i="11"/>
  <c r="I466" i="11"/>
  <c r="J465" i="11"/>
  <c r="I465" i="11"/>
  <c r="K465" i="11" s="1"/>
  <c r="I464" i="11"/>
  <c r="I463" i="11"/>
  <c r="I462" i="11"/>
  <c r="K462" i="11" s="1"/>
  <c r="I460" i="11"/>
  <c r="I442" i="11" s="1"/>
  <c r="K458" i="11"/>
  <c r="P456" i="11"/>
  <c r="L456" i="11"/>
  <c r="O456" i="11" s="1"/>
  <c r="P455" i="11"/>
  <c r="O455" i="11"/>
  <c r="P454" i="11"/>
  <c r="N454" i="11"/>
  <c r="M454" i="11"/>
  <c r="N453" i="11"/>
  <c r="N450" i="11"/>
  <c r="N449" i="11" s="1"/>
  <c r="P449" i="11"/>
  <c r="L449" i="11"/>
  <c r="P448" i="11"/>
  <c r="O448" i="11"/>
  <c r="P447" i="11"/>
  <c r="M447" i="11"/>
  <c r="P446" i="11"/>
  <c r="M446" i="11"/>
  <c r="P445" i="11"/>
  <c r="O445" i="11"/>
  <c r="N445" i="11"/>
  <c r="M445" i="11"/>
  <c r="L445" i="11"/>
  <c r="M444" i="11"/>
  <c r="P444" i="11" s="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P430" i="11"/>
  <c r="O430" i="11"/>
  <c r="N429" i="11"/>
  <c r="M429" i="11"/>
  <c r="P429" i="11" s="1"/>
  <c r="P424" i="11"/>
  <c r="N424" i="11"/>
  <c r="L424" i="11"/>
  <c r="O424" i="11" s="1"/>
  <c r="P423" i="11"/>
  <c r="O423" i="11"/>
  <c r="P422" i="11"/>
  <c r="N422" i="11"/>
  <c r="M422" i="11"/>
  <c r="N421" i="11"/>
  <c r="M421" i="11"/>
  <c r="P421" i="11" s="1"/>
  <c r="P420" i="11"/>
  <c r="N420" i="11"/>
  <c r="N419" i="11" s="1"/>
  <c r="M420" i="11"/>
  <c r="L420" i="11"/>
  <c r="O420" i="11" s="1"/>
  <c r="M419" i="11"/>
  <c r="J418" i="11"/>
  <c r="K413" i="11"/>
  <c r="K412" i="11"/>
  <c r="N410" i="11"/>
  <c r="M410" i="11"/>
  <c r="L410" i="11"/>
  <c r="L408" i="11" s="1"/>
  <c r="O408" i="11" s="1"/>
  <c r="P409" i="11"/>
  <c r="O409" i="11"/>
  <c r="N407" i="11"/>
  <c r="N405" i="11" s="1"/>
  <c r="M407" i="11"/>
  <c r="L407" i="11"/>
  <c r="O407" i="11" s="1"/>
  <c r="P406" i="11"/>
  <c r="O406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L397" i="11"/>
  <c r="L395" i="11" s="1"/>
  <c r="O395" i="11" s="1"/>
  <c r="P396" i="11"/>
  <c r="O396" i="11"/>
  <c r="N394" i="11"/>
  <c r="M394" i="11"/>
  <c r="P394" i="11" s="1"/>
  <c r="L394" i="11"/>
  <c r="L392" i="11" s="1"/>
  <c r="O392" i="11" s="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M350" i="11"/>
  <c r="M348" i="11" s="1"/>
  <c r="L350" i="11"/>
  <c r="L348" i="11" s="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P335" i="11"/>
  <c r="O335" i="11"/>
  <c r="N333" i="11"/>
  <c r="M333" i="11"/>
  <c r="M331" i="11" s="1"/>
  <c r="L333" i="11"/>
  <c r="L331" i="11" s="1"/>
  <c r="P332" i="11"/>
  <c r="O332" i="11"/>
  <c r="P329" i="11"/>
  <c r="N329" i="11"/>
  <c r="M329" i="11"/>
  <c r="L329" i="11"/>
  <c r="I327" i="11"/>
  <c r="I325" i="11"/>
  <c r="K325" i="11" s="1"/>
  <c r="N323" i="11"/>
  <c r="M323" i="11"/>
  <c r="P323" i="11" s="1"/>
  <c r="L323" i="11"/>
  <c r="P322" i="11"/>
  <c r="O322" i="11"/>
  <c r="N320" i="11"/>
  <c r="N318" i="11" s="1"/>
  <c r="M320" i="11"/>
  <c r="P320" i="11" s="1"/>
  <c r="L320" i="11"/>
  <c r="P319" i="11"/>
  <c r="O319" i="11"/>
  <c r="P316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M304" i="11" s="1"/>
  <c r="P304" i="11" s="1"/>
  <c r="L306" i="11"/>
  <c r="P305" i="11"/>
  <c r="O305" i="11"/>
  <c r="N303" i="11"/>
  <c r="N301" i="11" s="1"/>
  <c r="M303" i="11"/>
  <c r="M301" i="11" s="1"/>
  <c r="L303" i="11"/>
  <c r="P302" i="11"/>
  <c r="O302" i="11"/>
  <c r="P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I287" i="11"/>
  <c r="K287" i="11" s="1"/>
  <c r="N285" i="11"/>
  <c r="N283" i="11" s="1"/>
  <c r="M285" i="11"/>
  <c r="L285" i="11"/>
  <c r="L283" i="11" s="1"/>
  <c r="O283" i="11" s="1"/>
  <c r="P284" i="11"/>
  <c r="O284" i="11"/>
  <c r="N282" i="11"/>
  <c r="M282" i="11"/>
  <c r="M280" i="11" s="1"/>
  <c r="L282" i="11"/>
  <c r="L280" i="11" s="1"/>
  <c r="P281" i="11"/>
  <c r="O281" i="11"/>
  <c r="O278" i="11"/>
  <c r="N278" i="11"/>
  <c r="M278" i="11"/>
  <c r="L278" i="11"/>
  <c r="J276" i="11"/>
  <c r="I271" i="11"/>
  <c r="K271" i="11" s="1"/>
  <c r="N269" i="11"/>
  <c r="N267" i="11" s="1"/>
  <c r="M269" i="11"/>
  <c r="L269" i="11"/>
  <c r="L267" i="11" s="1"/>
  <c r="O267" i="11" s="1"/>
  <c r="P268" i="11"/>
  <c r="O268" i="11"/>
  <c r="N266" i="11"/>
  <c r="N264" i="11" s="1"/>
  <c r="M266" i="11"/>
  <c r="M264" i="11" s="1"/>
  <c r="L266" i="11"/>
  <c r="P265" i="11"/>
  <c r="O265" i="11"/>
  <c r="P262" i="11"/>
  <c r="O262" i="11"/>
  <c r="N262" i="11"/>
  <c r="M262" i="11"/>
  <c r="L262" i="11"/>
  <c r="J260" i="11"/>
  <c r="K258" i="11"/>
  <c r="K257" i="11"/>
  <c r="I255" i="11"/>
  <c r="I248" i="11" s="1"/>
  <c r="K248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N227" i="11" s="1"/>
  <c r="J237" i="11"/>
  <c r="J236" i="11"/>
  <c r="I236" i="11"/>
  <c r="K236" i="11" s="1"/>
  <c r="K235" i="11"/>
  <c r="J235" i="11"/>
  <c r="I235" i="11"/>
  <c r="J233" i="11"/>
  <c r="N231" i="11"/>
  <c r="N230" i="11"/>
  <c r="N229" i="11"/>
  <c r="N228" i="11"/>
  <c r="J226" i="11"/>
  <c r="J180" i="11" s="1"/>
  <c r="I225" i="11"/>
  <c r="K225" i="11" s="1"/>
  <c r="I224" i="11"/>
  <c r="K224" i="11" s="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N184" i="11" s="1"/>
  <c r="M186" i="11"/>
  <c r="L186" i="11"/>
  <c r="P185" i="11"/>
  <c r="O185" i="11"/>
  <c r="P182" i="11"/>
  <c r="N182" i="11"/>
  <c r="M182" i="11"/>
  <c r="L182" i="11"/>
  <c r="O182" i="11" s="1"/>
  <c r="K180" i="11"/>
  <c r="J177" i="11"/>
  <c r="J164" i="11" s="1"/>
  <c r="I176" i="11"/>
  <c r="K176" i="11" s="1"/>
  <c r="J174" i="11"/>
  <c r="N173" i="11"/>
  <c r="N171" i="11" s="1"/>
  <c r="M173" i="11"/>
  <c r="M171" i="11" s="1"/>
  <c r="P171" i="11" s="1"/>
  <c r="L173" i="11"/>
  <c r="O173" i="11" s="1"/>
  <c r="P172" i="11"/>
  <c r="O172" i="11"/>
  <c r="N170" i="11"/>
  <c r="N168" i="11" s="1"/>
  <c r="M170" i="11"/>
  <c r="L170" i="11"/>
  <c r="P169" i="11"/>
  <c r="O169" i="11"/>
  <c r="P166" i="11"/>
  <c r="O166" i="11"/>
  <c r="N166" i="11"/>
  <c r="M166" i="11"/>
  <c r="L166" i="11"/>
  <c r="I159" i="11"/>
  <c r="K159" i="11" s="1"/>
  <c r="N157" i="11"/>
  <c r="N155" i="11" s="1"/>
  <c r="M157" i="11"/>
  <c r="P157" i="11" s="1"/>
  <c r="L157" i="11"/>
  <c r="P156" i="11"/>
  <c r="O156" i="11"/>
  <c r="N154" i="11"/>
  <c r="N152" i="11" s="1"/>
  <c r="M154" i="11"/>
  <c r="P154" i="11" s="1"/>
  <c r="L154" i="11"/>
  <c r="P153" i="11"/>
  <c r="O153" i="11"/>
  <c r="N150" i="11"/>
  <c r="M150" i="11"/>
  <c r="P150" i="11" s="1"/>
  <c r="L150" i="11"/>
  <c r="J148" i="11"/>
  <c r="I146" i="11"/>
  <c r="I130" i="11" s="1"/>
  <c r="K130" i="11" s="1"/>
  <c r="I145" i="11"/>
  <c r="I144" i="11"/>
  <c r="K144" i="11" s="1"/>
  <c r="N140" i="11"/>
  <c r="N138" i="11" s="1"/>
  <c r="M140" i="11"/>
  <c r="L140" i="11"/>
  <c r="L138" i="11" s="1"/>
  <c r="P139" i="11"/>
  <c r="O139" i="11"/>
  <c r="N137" i="11"/>
  <c r="N135" i="11" s="1"/>
  <c r="M137" i="11"/>
  <c r="M135" i="11" s="1"/>
  <c r="L137" i="11"/>
  <c r="P136" i="11"/>
  <c r="O136" i="11"/>
  <c r="P133" i="11"/>
  <c r="O133" i="11"/>
  <c r="N133" i="11"/>
  <c r="M133" i="11"/>
  <c r="L133" i="11"/>
  <c r="J130" i="11"/>
  <c r="N127" i="11"/>
  <c r="N125" i="11" s="1"/>
  <c r="M127" i="11"/>
  <c r="M125" i="11" s="1"/>
  <c r="L127" i="11"/>
  <c r="L125" i="11" s="1"/>
  <c r="P126" i="11"/>
  <c r="O126" i="11"/>
  <c r="N124" i="11"/>
  <c r="M124" i="11"/>
  <c r="P124" i="11" s="1"/>
  <c r="L124" i="11"/>
  <c r="L122" i="11" s="1"/>
  <c r="O122" i="11" s="1"/>
  <c r="P123" i="11"/>
  <c r="O123" i="11"/>
  <c r="N120" i="11"/>
  <c r="M120" i="11"/>
  <c r="P120" i="11" s="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J98" i="11"/>
  <c r="J86" i="11" s="1"/>
  <c r="I98" i="11"/>
  <c r="I86" i="11" s="1"/>
  <c r="K86" i="11" s="1"/>
  <c r="N96" i="11"/>
  <c r="M96" i="11"/>
  <c r="M94" i="11" s="1"/>
  <c r="P94" i="11" s="1"/>
  <c r="L96" i="11"/>
  <c r="O96" i="11" s="1"/>
  <c r="P95" i="11"/>
  <c r="O95" i="11"/>
  <c r="N93" i="11"/>
  <c r="N91" i="11" s="1"/>
  <c r="M93" i="11"/>
  <c r="M91" i="11" s="1"/>
  <c r="L93" i="11"/>
  <c r="P92" i="11"/>
  <c r="O92" i="11"/>
  <c r="P89" i="11"/>
  <c r="O89" i="11"/>
  <c r="N89" i="11"/>
  <c r="M89" i="11"/>
  <c r="L89" i="11"/>
  <c r="J87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K79" i="11" s="1"/>
  <c r="I78" i="11"/>
  <c r="K78" i="11" s="1"/>
  <c r="J77" i="11"/>
  <c r="J65" i="11" s="1"/>
  <c r="J76" i="11"/>
  <c r="J64" i="11" s="1"/>
  <c r="N74" i="11"/>
  <c r="N72" i="11" s="1"/>
  <c r="M74" i="11"/>
  <c r="P74" i="11" s="1"/>
  <c r="L74" i="11"/>
  <c r="L72" i="11" s="1"/>
  <c r="O72" i="11" s="1"/>
  <c r="P73" i="11"/>
  <c r="O73" i="11"/>
  <c r="N71" i="11"/>
  <c r="N69" i="11" s="1"/>
  <c r="M71" i="11"/>
  <c r="L71" i="11"/>
  <c r="L69" i="11" s="1"/>
  <c r="P70" i="11"/>
  <c r="O70" i="11"/>
  <c r="P67" i="11"/>
  <c r="O67" i="11"/>
  <c r="N67" i="11"/>
  <c r="M67" i="11"/>
  <c r="L67" i="11"/>
  <c r="N61" i="11"/>
  <c r="N59" i="11" s="1"/>
  <c r="M61" i="11"/>
  <c r="M59" i="11" s="1"/>
  <c r="L61" i="11"/>
  <c r="L59" i="11" s="1"/>
  <c r="P60" i="11"/>
  <c r="O60" i="11"/>
  <c r="N58" i="11"/>
  <c r="M58" i="11"/>
  <c r="M56" i="11" s="1"/>
  <c r="L58" i="11"/>
  <c r="P57" i="11"/>
  <c r="O57" i="11"/>
  <c r="N54" i="11"/>
  <c r="M54" i="11"/>
  <c r="P54" i="11" s="1"/>
  <c r="L54" i="11"/>
  <c r="N49" i="11"/>
  <c r="M49" i="11"/>
  <c r="P49" i="11" s="1"/>
  <c r="L49" i="11"/>
  <c r="P48" i="11"/>
  <c r="O48" i="11"/>
  <c r="N46" i="11"/>
  <c r="N44" i="11" s="1"/>
  <c r="M46" i="11"/>
  <c r="M44" i="11" s="1"/>
  <c r="L46" i="11"/>
  <c r="L44" i="11" s="1"/>
  <c r="P45" i="11"/>
  <c r="O45" i="11"/>
  <c r="P42" i="11"/>
  <c r="O42" i="11"/>
  <c r="N42" i="11"/>
  <c r="M42" i="11"/>
  <c r="L42" i="11"/>
  <c r="N36" i="11"/>
  <c r="N34" i="11" s="1"/>
  <c r="M36" i="11"/>
  <c r="P36" i="11" s="1"/>
  <c r="N35" i="11"/>
  <c r="M35" i="11"/>
  <c r="M34" i="11" s="1"/>
  <c r="L35" i="11"/>
  <c r="O35" i="11" s="1"/>
  <c r="P34" i="11"/>
  <c r="P33" i="11"/>
  <c r="N33" i="11"/>
  <c r="M33" i="11"/>
  <c r="O32" i="11"/>
  <c r="N32" i="11"/>
  <c r="M32" i="11"/>
  <c r="P32" i="11" s="1"/>
  <c r="L32" i="11"/>
  <c r="M30" i="11"/>
  <c r="P30" i="11" s="1"/>
  <c r="L29" i="11"/>
  <c r="O29" i="11" s="1"/>
  <c r="O25" i="11"/>
  <c r="N25" i="11"/>
  <c r="M25" i="11"/>
  <c r="M15" i="11" s="1"/>
  <c r="L25" i="11"/>
  <c r="P22" i="11"/>
  <c r="N22" i="11"/>
  <c r="M22" i="11"/>
  <c r="L22" i="11"/>
  <c r="O22" i="11" s="1"/>
  <c r="N19" i="11"/>
  <c r="M19" i="11"/>
  <c r="L15" i="11"/>
  <c r="O15" i="11" s="1"/>
  <c r="M12" i="11"/>
  <c r="P12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O808" i="10"/>
  <c r="M808" i="10"/>
  <c r="P808" i="10" s="1"/>
  <c r="L808" i="10"/>
  <c r="M807" i="10"/>
  <c r="P807" i="10" s="1"/>
  <c r="L807" i="10"/>
  <c r="O807" i="10" s="1"/>
  <c r="N806" i="10"/>
  <c r="M806" i="10"/>
  <c r="P806" i="10" s="1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N788" i="10" s="1"/>
  <c r="N786" i="10" s="1"/>
  <c r="L791" i="10"/>
  <c r="L788" i="10" s="1"/>
  <c r="O788" i="10" s="1"/>
  <c r="P790" i="10"/>
  <c r="O790" i="10"/>
  <c r="M789" i="10"/>
  <c r="P789" i="10" s="1"/>
  <c r="M788" i="10"/>
  <c r="P788" i="10" s="1"/>
  <c r="N787" i="10"/>
  <c r="M787" i="10"/>
  <c r="P787" i="10" s="1"/>
  <c r="L787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P774" i="10"/>
  <c r="O774" i="10"/>
  <c r="P773" i="10"/>
  <c r="O773" i="10"/>
  <c r="N773" i="10"/>
  <c r="M773" i="10"/>
  <c r="L773" i="10"/>
  <c r="O772" i="10"/>
  <c r="N772" i="10"/>
  <c r="M772" i="10"/>
  <c r="P772" i="10" s="1"/>
  <c r="L772" i="10"/>
  <c r="N771" i="10"/>
  <c r="N770" i="10" s="1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P758" i="10"/>
  <c r="O758" i="10"/>
  <c r="P757" i="10"/>
  <c r="O757" i="10"/>
  <c r="N757" i="10"/>
  <c r="M757" i="10"/>
  <c r="L757" i="10"/>
  <c r="O756" i="10"/>
  <c r="N756" i="10"/>
  <c r="M756" i="10"/>
  <c r="P756" i="10" s="1"/>
  <c r="L756" i="10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P741" i="10"/>
  <c r="O741" i="10"/>
  <c r="P740" i="10"/>
  <c r="O740" i="10"/>
  <c r="N740" i="10"/>
  <c r="M740" i="10"/>
  <c r="L740" i="10"/>
  <c r="O739" i="10"/>
  <c r="N739" i="10"/>
  <c r="M739" i="10"/>
  <c r="P739" i="10" s="1"/>
  <c r="L739" i="10"/>
  <c r="N738" i="10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L690" i="10"/>
  <c r="L688" i="10" s="1"/>
  <c r="O688" i="10" s="1"/>
  <c r="N688" i="10"/>
  <c r="M688" i="10"/>
  <c r="P688" i="10" s="1"/>
  <c r="N687" i="10"/>
  <c r="N685" i="10" s="1"/>
  <c r="M687" i="10"/>
  <c r="P687" i="10" s="1"/>
  <c r="N686" i="10"/>
  <c r="M686" i="10"/>
  <c r="P686" i="10" s="1"/>
  <c r="L686" i="10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P667" i="10"/>
  <c r="O667" i="10"/>
  <c r="P666" i="10"/>
  <c r="O666" i="10"/>
  <c r="N665" i="10"/>
  <c r="M665" i="10"/>
  <c r="P665" i="10" s="1"/>
  <c r="L665" i="10"/>
  <c r="O665" i="10" s="1"/>
  <c r="P660" i="10"/>
  <c r="N660" i="10"/>
  <c r="N657" i="10" s="1"/>
  <c r="N655" i="10" s="1"/>
  <c r="L660" i="10"/>
  <c r="O660" i="10" s="1"/>
  <c r="P659" i="10"/>
  <c r="O659" i="10"/>
  <c r="P658" i="10"/>
  <c r="N658" i="10"/>
  <c r="M658" i="10"/>
  <c r="P657" i="10"/>
  <c r="M657" i="10"/>
  <c r="P656" i="10"/>
  <c r="O656" i="10"/>
  <c r="N656" i="10"/>
  <c r="M656" i="10"/>
  <c r="L656" i="10"/>
  <c r="M655" i="10"/>
  <c r="P655" i="10" s="1"/>
  <c r="K652" i="10"/>
  <c r="J652" i="10"/>
  <c r="J651" i="10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P634" i="10"/>
  <c r="N634" i="10"/>
  <c r="N631" i="10" s="1"/>
  <c r="L634" i="10"/>
  <c r="O634" i="10" s="1"/>
  <c r="P633" i="10"/>
  <c r="O633" i="10"/>
  <c r="N632" i="10"/>
  <c r="M632" i="10"/>
  <c r="P632" i="10" s="1"/>
  <c r="M631" i="10"/>
  <c r="P631" i="10" s="1"/>
  <c r="P630" i="10"/>
  <c r="N630" i="10"/>
  <c r="N629" i="10" s="1"/>
  <c r="M630" i="10"/>
  <c r="L630" i="10"/>
  <c r="O630" i="10" s="1"/>
  <c r="P629" i="10"/>
  <c r="M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4" i="10"/>
  <c r="I594" i="10"/>
  <c r="K594" i="10" s="1"/>
  <c r="I593" i="10"/>
  <c r="I592" i="10" s="1"/>
  <c r="J592" i="10"/>
  <c r="J583" i="10"/>
  <c r="J582" i="10"/>
  <c r="J577" i="10"/>
  <c r="I577" i="10"/>
  <c r="J576" i="10"/>
  <c r="I576" i="10"/>
  <c r="I559" i="10" s="1"/>
  <c r="J569" i="10"/>
  <c r="I569" i="10"/>
  <c r="J568" i="10"/>
  <c r="I568" i="10"/>
  <c r="J561" i="10"/>
  <c r="I561" i="10"/>
  <c r="K561" i="10" s="1"/>
  <c r="J560" i="10"/>
  <c r="I560" i="10"/>
  <c r="J559" i="10"/>
  <c r="J543" i="10" s="1"/>
  <c r="P557" i="10"/>
  <c r="L557" i="10"/>
  <c r="L555" i="10" s="1"/>
  <c r="O555" i="10" s="1"/>
  <c r="P556" i="10"/>
  <c r="O556" i="10"/>
  <c r="P555" i="10"/>
  <c r="N555" i="10"/>
  <c r="M555" i="10"/>
  <c r="P549" i="10"/>
  <c r="N549" i="10"/>
  <c r="L549" i="10"/>
  <c r="L547" i="10" s="1"/>
  <c r="O547" i="10" s="1"/>
  <c r="P548" i="10"/>
  <c r="O548" i="10"/>
  <c r="P547" i="10"/>
  <c r="N547" i="10"/>
  <c r="M547" i="10"/>
  <c r="P546" i="10"/>
  <c r="N546" i="10"/>
  <c r="M546" i="10"/>
  <c r="O545" i="10"/>
  <c r="N545" i="10"/>
  <c r="N544" i="10" s="1"/>
  <c r="M545" i="10"/>
  <c r="P545" i="10" s="1"/>
  <c r="L545" i="10"/>
  <c r="M544" i="10"/>
  <c r="P544" i="10" s="1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N525" i="10" s="1"/>
  <c r="N523" i="10" s="1"/>
  <c r="L528" i="10"/>
  <c r="P527" i="10"/>
  <c r="O527" i="10"/>
  <c r="N526" i="10"/>
  <c r="M526" i="10"/>
  <c r="P526" i="10" s="1"/>
  <c r="M525" i="10"/>
  <c r="P525" i="10" s="1"/>
  <c r="N524" i="10"/>
  <c r="M524" i="10"/>
  <c r="P524" i="10" s="1"/>
  <c r="L524" i="10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N505" i="10" s="1"/>
  <c r="P506" i="10"/>
  <c r="O506" i="10"/>
  <c r="M505" i="10"/>
  <c r="P505" i="10" s="1"/>
  <c r="L505" i="10"/>
  <c r="O505" i="10" s="1"/>
  <c r="P504" i="10"/>
  <c r="N504" i="10"/>
  <c r="M504" i="10"/>
  <c r="L504" i="10"/>
  <c r="O504" i="10" s="1"/>
  <c r="P503" i="10"/>
  <c r="O503" i="10"/>
  <c r="N503" i="10"/>
  <c r="M503" i="10"/>
  <c r="M502" i="10" s="1"/>
  <c r="P502" i="10" s="1"/>
  <c r="L503" i="10"/>
  <c r="O502" i="10"/>
  <c r="N502" i="10"/>
  <c r="L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N477" i="10"/>
  <c r="M477" i="10"/>
  <c r="P477" i="10" s="1"/>
  <c r="P472" i="10"/>
  <c r="N472" i="10"/>
  <c r="L472" i="10"/>
  <c r="P471" i="10"/>
  <c r="O471" i="10"/>
  <c r="N470" i="10"/>
  <c r="M470" i="10"/>
  <c r="P470" i="10" s="1"/>
  <c r="P469" i="10"/>
  <c r="N469" i="10"/>
  <c r="M469" i="10"/>
  <c r="P468" i="10"/>
  <c r="O468" i="10"/>
  <c r="N468" i="10"/>
  <c r="M468" i="10"/>
  <c r="M467" i="10" s="1"/>
  <c r="P467" i="10" s="1"/>
  <c r="L468" i="10"/>
  <c r="N467" i="10"/>
  <c r="J466" i="10"/>
  <c r="I466" i="10"/>
  <c r="K466" i="10" s="1"/>
  <c r="J465" i="10"/>
  <c r="I465" i="10"/>
  <c r="K465" i="10" s="1"/>
  <c r="I464" i="10"/>
  <c r="I463" i="10"/>
  <c r="I462" i="10"/>
  <c r="I443" i="10" s="1"/>
  <c r="K443" i="10" s="1"/>
  <c r="I460" i="10"/>
  <c r="K460" i="10" s="1"/>
  <c r="K458" i="10"/>
  <c r="P456" i="10"/>
  <c r="L456" i="10"/>
  <c r="L454" i="10" s="1"/>
  <c r="O454" i="10" s="1"/>
  <c r="P455" i="10"/>
  <c r="O455" i="10"/>
  <c r="N454" i="10"/>
  <c r="M454" i="10"/>
  <c r="P454" i="10" s="1"/>
  <c r="P449" i="10"/>
  <c r="N449" i="10"/>
  <c r="N446" i="10" s="1"/>
  <c r="L449" i="10"/>
  <c r="P448" i="10"/>
  <c r="O448" i="10"/>
  <c r="N447" i="10"/>
  <c r="M447" i="10"/>
  <c r="P447" i="10" s="1"/>
  <c r="M446" i="10"/>
  <c r="P446" i="10" s="1"/>
  <c r="P445" i="10"/>
  <c r="N445" i="10"/>
  <c r="M445" i="10"/>
  <c r="L445" i="10"/>
  <c r="O445" i="10" s="1"/>
  <c r="J443" i="10"/>
  <c r="J442" i="10"/>
  <c r="I441" i="10"/>
  <c r="K441" i="10" s="1"/>
  <c r="I440" i="10"/>
  <c r="I439" i="10"/>
  <c r="K439" i="10" s="1"/>
  <c r="I438" i="10"/>
  <c r="K438" i="10" s="1"/>
  <c r="I437" i="10"/>
  <c r="K437" i="10" s="1"/>
  <c r="I435" i="10"/>
  <c r="J434" i="10"/>
  <c r="P431" i="10"/>
  <c r="L431" i="10"/>
  <c r="L429" i="10" s="1"/>
  <c r="O429" i="10" s="1"/>
  <c r="P430" i="10"/>
  <c r="O430" i="10"/>
  <c r="N429" i="10"/>
  <c r="M429" i="10"/>
  <c r="P429" i="10" s="1"/>
  <c r="P424" i="10"/>
  <c r="N424" i="10"/>
  <c r="N421" i="10" s="1"/>
  <c r="L424" i="10"/>
  <c r="O424" i="10" s="1"/>
  <c r="P423" i="10"/>
  <c r="O423" i="10"/>
  <c r="N422" i="10"/>
  <c r="M422" i="10"/>
  <c r="P422" i="10" s="1"/>
  <c r="M421" i="10"/>
  <c r="P421" i="10" s="1"/>
  <c r="P420" i="10"/>
  <c r="N420" i="10"/>
  <c r="N419" i="10" s="1"/>
  <c r="M420" i="10"/>
  <c r="L420" i="10"/>
  <c r="O420" i="10" s="1"/>
  <c r="P419" i="10"/>
  <c r="M419" i="10"/>
  <c r="J418" i="10"/>
  <c r="K413" i="10"/>
  <c r="K412" i="10"/>
  <c r="N410" i="10"/>
  <c r="N408" i="10" s="1"/>
  <c r="M410" i="10"/>
  <c r="M408" i="10" s="1"/>
  <c r="P408" i="10" s="1"/>
  <c r="L410" i="10"/>
  <c r="L408" i="10" s="1"/>
  <c r="O408" i="10" s="1"/>
  <c r="P409" i="10"/>
  <c r="O409" i="10"/>
  <c r="N407" i="10"/>
  <c r="M407" i="10"/>
  <c r="M405" i="10" s="1"/>
  <c r="P405" i="10" s="1"/>
  <c r="L407" i="10"/>
  <c r="P406" i="10"/>
  <c r="O406" i="10"/>
  <c r="P403" i="10"/>
  <c r="O403" i="10"/>
  <c r="N403" i="10"/>
  <c r="M403" i="10"/>
  <c r="L403" i="10"/>
  <c r="K401" i="10"/>
  <c r="J401" i="10"/>
  <c r="I401" i="10"/>
  <c r="K400" i="10"/>
  <c r="K399" i="10"/>
  <c r="N397" i="10"/>
  <c r="M397" i="10"/>
  <c r="P397" i="10" s="1"/>
  <c r="L397" i="10"/>
  <c r="P396" i="10"/>
  <c r="O396" i="10"/>
  <c r="N394" i="10"/>
  <c r="N392" i="10" s="1"/>
  <c r="M394" i="10"/>
  <c r="L394" i="10"/>
  <c r="L392" i="10" s="1"/>
  <c r="O392" i="10" s="1"/>
  <c r="P393" i="10"/>
  <c r="O393" i="10"/>
  <c r="P390" i="10"/>
  <c r="N390" i="10"/>
  <c r="M390" i="10"/>
  <c r="L390" i="10"/>
  <c r="O390" i="10" s="1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M350" i="10"/>
  <c r="L350" i="10"/>
  <c r="L348" i="10" s="1"/>
  <c r="P349" i="10"/>
  <c r="O349" i="10"/>
  <c r="P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M334" i="10" s="1"/>
  <c r="L336" i="10"/>
  <c r="P335" i="10"/>
  <c r="O335" i="10"/>
  <c r="N333" i="10"/>
  <c r="N331" i="10" s="1"/>
  <c r="M333" i="10"/>
  <c r="M331" i="10" s="1"/>
  <c r="L333" i="10"/>
  <c r="L331" i="10" s="1"/>
  <c r="P332" i="10"/>
  <c r="O332" i="10"/>
  <c r="P329" i="10"/>
  <c r="N329" i="10"/>
  <c r="M329" i="10"/>
  <c r="L329" i="10"/>
  <c r="I327" i="10"/>
  <c r="I325" i="10"/>
  <c r="I314" i="10" s="1"/>
  <c r="K314" i="10" s="1"/>
  <c r="N323" i="10"/>
  <c r="M323" i="10"/>
  <c r="P323" i="10" s="1"/>
  <c r="L323" i="10"/>
  <c r="P322" i="10"/>
  <c r="O322" i="10"/>
  <c r="N320" i="10"/>
  <c r="N318" i="10" s="1"/>
  <c r="M320" i="10"/>
  <c r="L320" i="10"/>
  <c r="O320" i="10" s="1"/>
  <c r="P319" i="10"/>
  <c r="O319" i="10"/>
  <c r="N316" i="10"/>
  <c r="M316" i="10"/>
  <c r="P316" i="10" s="1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P305" i="10"/>
  <c r="O305" i="10"/>
  <c r="N303" i="10"/>
  <c r="M303" i="10"/>
  <c r="L303" i="10"/>
  <c r="L301" i="10" s="1"/>
  <c r="P302" i="10"/>
  <c r="O302" i="10"/>
  <c r="P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75" i="10" s="1"/>
  <c r="I287" i="10"/>
  <c r="K287" i="10" s="1"/>
  <c r="N285" i="10"/>
  <c r="N283" i="10" s="1"/>
  <c r="M285" i="10"/>
  <c r="L285" i="10"/>
  <c r="P284" i="10"/>
  <c r="O284" i="10"/>
  <c r="N282" i="10"/>
  <c r="M282" i="10"/>
  <c r="M280" i="10" s="1"/>
  <c r="L282" i="10"/>
  <c r="L280" i="10" s="1"/>
  <c r="P281" i="10"/>
  <c r="O281" i="10"/>
  <c r="O278" i="10"/>
  <c r="N278" i="10"/>
  <c r="M278" i="10"/>
  <c r="L278" i="10"/>
  <c r="J276" i="10"/>
  <c r="I271" i="10"/>
  <c r="K271" i="10" s="1"/>
  <c r="N269" i="10"/>
  <c r="N267" i="10" s="1"/>
  <c r="M269" i="10"/>
  <c r="L269" i="10"/>
  <c r="L267" i="10" s="1"/>
  <c r="O267" i="10" s="1"/>
  <c r="P268" i="10"/>
  <c r="O268" i="10"/>
  <c r="N266" i="10"/>
  <c r="N264" i="10" s="1"/>
  <c r="M266" i="10"/>
  <c r="L266" i="10"/>
  <c r="P265" i="10"/>
  <c r="O265" i="10"/>
  <c r="P262" i="10"/>
  <c r="N262" i="10"/>
  <c r="M262" i="10"/>
  <c r="L262" i="10"/>
  <c r="J260" i="10"/>
  <c r="K258" i="10"/>
  <c r="K257" i="10"/>
  <c r="I255" i="10"/>
  <c r="L253" i="10"/>
  <c r="L252" i="10"/>
  <c r="L251" i="10"/>
  <c r="L250" i="10"/>
  <c r="P249" i="10"/>
  <c r="N249" i="10"/>
  <c r="J248" i="10"/>
  <c r="J226" i="10" s="1"/>
  <c r="J180" i="10" s="1"/>
  <c r="K247" i="10"/>
  <c r="K246" i="10"/>
  <c r="I244" i="10"/>
  <c r="K244" i="10" s="1"/>
  <c r="L242" i="10"/>
  <c r="L241" i="10"/>
  <c r="L240" i="10"/>
  <c r="L239" i="10"/>
  <c r="P238" i="10"/>
  <c r="N238" i="10"/>
  <c r="N227" i="10" s="1"/>
  <c r="J237" i="10"/>
  <c r="K236" i="10"/>
  <c r="J236" i="10"/>
  <c r="I236" i="10"/>
  <c r="K235" i="10"/>
  <c r="J235" i="10"/>
  <c r="I235" i="10"/>
  <c r="J233" i="10"/>
  <c r="N231" i="10"/>
  <c r="N230" i="10"/>
  <c r="N229" i="10"/>
  <c r="N228" i="10"/>
  <c r="I225" i="10"/>
  <c r="K225" i="10" s="1"/>
  <c r="I224" i="10"/>
  <c r="I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P191" i="10"/>
  <c r="L191" i="10"/>
  <c r="O191" i="10" s="1"/>
  <c r="J190" i="10"/>
  <c r="N189" i="10"/>
  <c r="N187" i="10" s="1"/>
  <c r="M189" i="10"/>
  <c r="L189" i="10"/>
  <c r="O189" i="10" s="1"/>
  <c r="P188" i="10"/>
  <c r="O188" i="10"/>
  <c r="N186" i="10"/>
  <c r="M186" i="10"/>
  <c r="L186" i="10"/>
  <c r="P185" i="10"/>
  <c r="O185" i="10"/>
  <c r="N182" i="10"/>
  <c r="M182" i="10"/>
  <c r="L182" i="10"/>
  <c r="O182" i="10" s="1"/>
  <c r="K180" i="10"/>
  <c r="J177" i="10"/>
  <c r="I176" i="10"/>
  <c r="J174" i="10"/>
  <c r="J164" i="10" s="1"/>
  <c r="N173" i="10"/>
  <c r="N171" i="10" s="1"/>
  <c r="M173" i="10"/>
  <c r="P173" i="10" s="1"/>
  <c r="L173" i="10"/>
  <c r="P172" i="10"/>
  <c r="O172" i="10"/>
  <c r="N170" i="10"/>
  <c r="N168" i="10" s="1"/>
  <c r="M170" i="10"/>
  <c r="M168" i="10" s="1"/>
  <c r="L170" i="10"/>
  <c r="P169" i="10"/>
  <c r="O169" i="10"/>
  <c r="O166" i="10"/>
  <c r="N166" i="10"/>
  <c r="M166" i="10"/>
  <c r="L166" i="10"/>
  <c r="I159" i="10"/>
  <c r="N157" i="10"/>
  <c r="M157" i="10"/>
  <c r="P157" i="10" s="1"/>
  <c r="L157" i="10"/>
  <c r="L155" i="10" s="1"/>
  <c r="O155" i="10" s="1"/>
  <c r="P156" i="10"/>
  <c r="O156" i="10"/>
  <c r="N154" i="10"/>
  <c r="N152" i="10" s="1"/>
  <c r="M154" i="10"/>
  <c r="L154" i="10"/>
  <c r="P153" i="10"/>
  <c r="O153" i="10"/>
  <c r="O150" i="10"/>
  <c r="N150" i="10"/>
  <c r="M150" i="10"/>
  <c r="P150" i="10" s="1"/>
  <c r="L150" i="10"/>
  <c r="J148" i="10"/>
  <c r="I146" i="10"/>
  <c r="I130" i="10" s="1"/>
  <c r="I145" i="10"/>
  <c r="K145" i="10" s="1"/>
  <c r="I144" i="10"/>
  <c r="K144" i="10" s="1"/>
  <c r="N140" i="10"/>
  <c r="N138" i="10" s="1"/>
  <c r="M140" i="10"/>
  <c r="M138" i="10" s="1"/>
  <c r="L140" i="10"/>
  <c r="P139" i="10"/>
  <c r="O139" i="10"/>
  <c r="N137" i="10"/>
  <c r="M137" i="10"/>
  <c r="M135" i="10" s="1"/>
  <c r="L137" i="10"/>
  <c r="L135" i="10" s="1"/>
  <c r="P136" i="10"/>
  <c r="O136" i="10"/>
  <c r="P133" i="10"/>
  <c r="N133" i="10"/>
  <c r="M133" i="10"/>
  <c r="L133" i="10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M124" i="10"/>
  <c r="M122" i="10" s="1"/>
  <c r="P122" i="10" s="1"/>
  <c r="L124" i="10"/>
  <c r="L122" i="10" s="1"/>
  <c r="O122" i="10" s="1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J98" i="10"/>
  <c r="J86" i="10" s="1"/>
  <c r="I98" i="10"/>
  <c r="I86" i="10" s="1"/>
  <c r="N96" i="10"/>
  <c r="N94" i="10" s="1"/>
  <c r="M96" i="10"/>
  <c r="L96" i="10"/>
  <c r="P95" i="10"/>
  <c r="O95" i="10"/>
  <c r="N93" i="10"/>
  <c r="M93" i="10"/>
  <c r="M91" i="10" s="1"/>
  <c r="L93" i="10"/>
  <c r="P92" i="10"/>
  <c r="O92" i="10"/>
  <c r="O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76" i="10"/>
  <c r="N74" i="10"/>
  <c r="N72" i="10" s="1"/>
  <c r="M74" i="10"/>
  <c r="P74" i="10" s="1"/>
  <c r="L74" i="10"/>
  <c r="P73" i="10"/>
  <c r="O73" i="10"/>
  <c r="N71" i="10"/>
  <c r="N69" i="10" s="1"/>
  <c r="M71" i="10"/>
  <c r="M69" i="10" s="1"/>
  <c r="L71" i="10"/>
  <c r="P70" i="10"/>
  <c r="O70" i="10"/>
  <c r="P67" i="10"/>
  <c r="N67" i="10"/>
  <c r="M67" i="10"/>
  <c r="L67" i="10"/>
  <c r="J65" i="10"/>
  <c r="J64" i="10"/>
  <c r="N61" i="10"/>
  <c r="N59" i="10" s="1"/>
  <c r="M61" i="10"/>
  <c r="M59" i="10" s="1"/>
  <c r="P59" i="10" s="1"/>
  <c r="L61" i="10"/>
  <c r="P60" i="10"/>
  <c r="O60" i="10"/>
  <c r="N58" i="10"/>
  <c r="N56" i="10" s="1"/>
  <c r="M58" i="10"/>
  <c r="M56" i="10" s="1"/>
  <c r="L58" i="10"/>
  <c r="L56" i="10" s="1"/>
  <c r="P57" i="10"/>
  <c r="O57" i="10"/>
  <c r="N54" i="10"/>
  <c r="M54" i="10"/>
  <c r="P54" i="10" s="1"/>
  <c r="L54" i="10"/>
  <c r="N49" i="10"/>
  <c r="N47" i="10" s="1"/>
  <c r="M49" i="10"/>
  <c r="P49" i="10" s="1"/>
  <c r="L49" i="10"/>
  <c r="P48" i="10"/>
  <c r="O48" i="10"/>
  <c r="N46" i="10"/>
  <c r="M46" i="10"/>
  <c r="M44" i="10" s="1"/>
  <c r="L46" i="10"/>
  <c r="P45" i="10"/>
  <c r="O45" i="10"/>
  <c r="P42" i="10"/>
  <c r="O42" i="10"/>
  <c r="N42" i="10"/>
  <c r="M42" i="10"/>
  <c r="L42" i="10"/>
  <c r="N36" i="10"/>
  <c r="N34" i="10" s="1"/>
  <c r="M36" i="10"/>
  <c r="P36" i="10" s="1"/>
  <c r="P35" i="10"/>
  <c r="N35" i="10"/>
  <c r="M35" i="10"/>
  <c r="M34" i="10" s="1"/>
  <c r="L35" i="10"/>
  <c r="O35" i="10" s="1"/>
  <c r="P34" i="10"/>
  <c r="P33" i="10"/>
  <c r="N33" i="10"/>
  <c r="N30" i="10" s="1"/>
  <c r="M33" i="10"/>
  <c r="O32" i="10"/>
  <c r="N32" i="10"/>
  <c r="M32" i="10"/>
  <c r="P32" i="10" s="1"/>
  <c r="L32" i="10"/>
  <c r="M31" i="10"/>
  <c r="P31" i="10" s="1"/>
  <c r="M30" i="10"/>
  <c r="P30" i="10" s="1"/>
  <c r="L29" i="10"/>
  <c r="O29" i="10" s="1"/>
  <c r="N25" i="10"/>
  <c r="M25" i="10"/>
  <c r="P25" i="10" s="1"/>
  <c r="L25" i="10"/>
  <c r="P22" i="10"/>
  <c r="O22" i="10"/>
  <c r="N22" i="10"/>
  <c r="M22" i="10"/>
  <c r="L22" i="10"/>
  <c r="N19" i="10"/>
  <c r="M19" i="10"/>
  <c r="P19" i="10" s="1"/>
  <c r="L19" i="10"/>
  <c r="N12" i="10"/>
  <c r="M12" i="10"/>
  <c r="P12" i="10" s="1"/>
  <c r="L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M808" i="9"/>
  <c r="P808" i="9" s="1"/>
  <c r="L808" i="9"/>
  <c r="O808" i="9" s="1"/>
  <c r="M807" i="9"/>
  <c r="P807" i="9" s="1"/>
  <c r="L807" i="9"/>
  <c r="O807" i="9" s="1"/>
  <c r="P806" i="9"/>
  <c r="N806" i="9"/>
  <c r="M806" i="9"/>
  <c r="L806" i="9"/>
  <c r="O806" i="9" s="1"/>
  <c r="K804" i="9"/>
  <c r="J804" i="9"/>
  <c r="K802" i="9"/>
  <c r="J801" i="9"/>
  <c r="J800" i="9"/>
  <c r="J785" i="9" s="1"/>
  <c r="I800" i="9"/>
  <c r="I785" i="9" s="1"/>
  <c r="K785" i="9" s="1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L788" i="9" s="1"/>
  <c r="O788" i="9" s="1"/>
  <c r="P790" i="9"/>
  <c r="O790" i="9"/>
  <c r="N789" i="9"/>
  <c r="M789" i="9"/>
  <c r="P789" i="9" s="1"/>
  <c r="M788" i="9"/>
  <c r="P788" i="9" s="1"/>
  <c r="N787" i="9"/>
  <c r="M787" i="9"/>
  <c r="P787" i="9" s="1"/>
  <c r="L787" i="9"/>
  <c r="O787" i="9" s="1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P774" i="9"/>
  <c r="O774" i="9"/>
  <c r="O773" i="9"/>
  <c r="N773" i="9"/>
  <c r="M773" i="9"/>
  <c r="P773" i="9" s="1"/>
  <c r="L773" i="9"/>
  <c r="N772" i="9"/>
  <c r="N770" i="9" s="1"/>
  <c r="M772" i="9"/>
  <c r="P772" i="9" s="1"/>
  <c r="L772" i="9"/>
  <c r="O772" i="9" s="1"/>
  <c r="N771" i="9"/>
  <c r="M771" i="9"/>
  <c r="P771" i="9" s="1"/>
  <c r="L771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P758" i="9"/>
  <c r="O758" i="9"/>
  <c r="O757" i="9"/>
  <c r="N757" i="9"/>
  <c r="M757" i="9"/>
  <c r="P757" i="9" s="1"/>
  <c r="L757" i="9"/>
  <c r="N756" i="9"/>
  <c r="N754" i="9" s="1"/>
  <c r="M756" i="9"/>
  <c r="P756" i="9" s="1"/>
  <c r="L756" i="9"/>
  <c r="O756" i="9" s="1"/>
  <c r="N755" i="9"/>
  <c r="M755" i="9"/>
  <c r="P755" i="9" s="1"/>
  <c r="L755" i="9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P741" i="9"/>
  <c r="O741" i="9"/>
  <c r="O740" i="9"/>
  <c r="N740" i="9"/>
  <c r="M740" i="9"/>
  <c r="P740" i="9" s="1"/>
  <c r="L740" i="9"/>
  <c r="N739" i="9"/>
  <c r="N737" i="9" s="1"/>
  <c r="M739" i="9"/>
  <c r="P739" i="9" s="1"/>
  <c r="L739" i="9"/>
  <c r="O739" i="9" s="1"/>
  <c r="N738" i="9"/>
  <c r="M738" i="9"/>
  <c r="P738" i="9" s="1"/>
  <c r="L738" i="9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O695" i="9"/>
  <c r="N695" i="9"/>
  <c r="M695" i="9"/>
  <c r="L695" i="9"/>
  <c r="P690" i="9"/>
  <c r="N690" i="9"/>
  <c r="N687" i="9" s="1"/>
  <c r="L690" i="9"/>
  <c r="N688" i="9"/>
  <c r="M688" i="9"/>
  <c r="P688" i="9" s="1"/>
  <c r="M687" i="9"/>
  <c r="P687" i="9" s="1"/>
  <c r="P686" i="9"/>
  <c r="N686" i="9"/>
  <c r="M686" i="9"/>
  <c r="L686" i="9"/>
  <c r="O686" i="9" s="1"/>
  <c r="J679" i="9"/>
  <c r="J678" i="9" s="1"/>
  <c r="I678" i="9"/>
  <c r="K678" i="9" s="1"/>
  <c r="J675" i="9"/>
  <c r="I671" i="9"/>
  <c r="K671" i="9" s="1"/>
  <c r="I670" i="9"/>
  <c r="K670" i="9" s="1"/>
  <c r="J669" i="9"/>
  <c r="I669" i="9"/>
  <c r="K672" i="9" s="1"/>
  <c r="P667" i="9"/>
  <c r="O667" i="9"/>
  <c r="P666" i="9"/>
  <c r="O666" i="9"/>
  <c r="P665" i="9"/>
  <c r="N665" i="9"/>
  <c r="M665" i="9"/>
  <c r="L665" i="9"/>
  <c r="O665" i="9" s="1"/>
  <c r="P660" i="9"/>
  <c r="N660" i="9"/>
  <c r="L660" i="9"/>
  <c r="O660" i="9" s="1"/>
  <c r="P659" i="9"/>
  <c r="O659" i="9"/>
  <c r="P658" i="9"/>
  <c r="N658" i="9"/>
  <c r="M658" i="9"/>
  <c r="L658" i="9"/>
  <c r="O658" i="9" s="1"/>
  <c r="P657" i="9"/>
  <c r="N657" i="9"/>
  <c r="M657" i="9"/>
  <c r="O656" i="9"/>
  <c r="N656" i="9"/>
  <c r="N655" i="9" s="1"/>
  <c r="M656" i="9"/>
  <c r="P656" i="9" s="1"/>
  <c r="L656" i="9"/>
  <c r="M655" i="9"/>
  <c r="P655" i="9" s="1"/>
  <c r="J654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L634" i="9"/>
  <c r="O634" i="9" s="1"/>
  <c r="P633" i="9"/>
  <c r="O633" i="9"/>
  <c r="N632" i="9"/>
  <c r="M632" i="9"/>
  <c r="P632" i="9" s="1"/>
  <c r="N631" i="9"/>
  <c r="M631" i="9"/>
  <c r="P631" i="9" s="1"/>
  <c r="P630" i="9"/>
  <c r="N630" i="9"/>
  <c r="M630" i="9"/>
  <c r="L630" i="9"/>
  <c r="O630" i="9" s="1"/>
  <c r="P629" i="9"/>
  <c r="N629" i="9"/>
  <c r="M629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4" i="9"/>
  <c r="I594" i="9"/>
  <c r="J593" i="9"/>
  <c r="I593" i="9"/>
  <c r="K593" i="9" s="1"/>
  <c r="J592" i="9"/>
  <c r="J583" i="9"/>
  <c r="J582" i="9"/>
  <c r="J576" i="9" s="1"/>
  <c r="J559" i="9" s="1"/>
  <c r="J543" i="9" s="1"/>
  <c r="J577" i="9"/>
  <c r="I577" i="9"/>
  <c r="K577" i="9" s="1"/>
  <c r="I576" i="9"/>
  <c r="I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P555" i="9"/>
  <c r="N555" i="9"/>
  <c r="M555" i="9"/>
  <c r="P549" i="9"/>
  <c r="N549" i="9"/>
  <c r="L549" i="9"/>
  <c r="L547" i="9" s="1"/>
  <c r="O547" i="9" s="1"/>
  <c r="P548" i="9"/>
  <c r="O548" i="9"/>
  <c r="P547" i="9"/>
  <c r="N547" i="9"/>
  <c r="M547" i="9"/>
  <c r="N546" i="9"/>
  <c r="M546" i="9"/>
  <c r="P546" i="9" s="1"/>
  <c r="N545" i="9"/>
  <c r="N544" i="9" s="1"/>
  <c r="M545" i="9"/>
  <c r="L545" i="9"/>
  <c r="O545" i="9" s="1"/>
  <c r="I542" i="9"/>
  <c r="K542" i="9" s="1"/>
  <c r="I541" i="9"/>
  <c r="K541" i="9" s="1"/>
  <c r="I540" i="9"/>
  <c r="K540" i="9" s="1"/>
  <c r="I539" i="9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N525" i="9" s="1"/>
  <c r="L528" i="9"/>
  <c r="P527" i="9"/>
  <c r="O527" i="9"/>
  <c r="N526" i="9"/>
  <c r="M526" i="9"/>
  <c r="P526" i="9" s="1"/>
  <c r="M525" i="9"/>
  <c r="P525" i="9" s="1"/>
  <c r="P524" i="9"/>
  <c r="N524" i="9"/>
  <c r="N523" i="9" s="1"/>
  <c r="M524" i="9"/>
  <c r="L524" i="9"/>
  <c r="O524" i="9" s="1"/>
  <c r="K517" i="9"/>
  <c r="J517" i="9"/>
  <c r="K516" i="9"/>
  <c r="P514" i="9"/>
  <c r="O514" i="9"/>
  <c r="P513" i="9"/>
  <c r="O513" i="9"/>
  <c r="N512" i="9"/>
  <c r="M512" i="9"/>
  <c r="P512" i="9" s="1"/>
  <c r="L512" i="9"/>
  <c r="O512" i="9" s="1"/>
  <c r="P507" i="9"/>
  <c r="O507" i="9"/>
  <c r="N507" i="9"/>
  <c r="P506" i="9"/>
  <c r="O506" i="9"/>
  <c r="N505" i="9"/>
  <c r="M505" i="9"/>
  <c r="P505" i="9" s="1"/>
  <c r="L505" i="9"/>
  <c r="O505" i="9" s="1"/>
  <c r="P504" i="9"/>
  <c r="N504" i="9"/>
  <c r="M504" i="9"/>
  <c r="L504" i="9"/>
  <c r="O504" i="9" s="1"/>
  <c r="P503" i="9"/>
  <c r="O503" i="9"/>
  <c r="N503" i="9"/>
  <c r="M503" i="9"/>
  <c r="L503" i="9"/>
  <c r="O502" i="9"/>
  <c r="N502" i="9"/>
  <c r="M502" i="9"/>
  <c r="P502" i="9" s="1"/>
  <c r="L502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P472" i="9"/>
  <c r="N472" i="9"/>
  <c r="N469" i="9" s="1"/>
  <c r="N467" i="9" s="1"/>
  <c r="L472" i="9"/>
  <c r="O472" i="9" s="1"/>
  <c r="P471" i="9"/>
  <c r="O471" i="9"/>
  <c r="P470" i="9"/>
  <c r="N470" i="9"/>
  <c r="M470" i="9"/>
  <c r="P469" i="9"/>
  <c r="M469" i="9"/>
  <c r="M467" i="9" s="1"/>
  <c r="P467" i="9" s="1"/>
  <c r="P468" i="9"/>
  <c r="O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I442" i="9" s="1"/>
  <c r="K442" i="9" s="1"/>
  <c r="K458" i="9"/>
  <c r="P456" i="9"/>
  <c r="L456" i="9"/>
  <c r="P455" i="9"/>
  <c r="O455" i="9"/>
  <c r="N454" i="9"/>
  <c r="M454" i="9"/>
  <c r="P454" i="9" s="1"/>
  <c r="P449" i="9"/>
  <c r="N449" i="9"/>
  <c r="L449" i="9"/>
  <c r="O449" i="9" s="1"/>
  <c r="P448" i="9"/>
  <c r="O448" i="9"/>
  <c r="N447" i="9"/>
  <c r="M447" i="9"/>
  <c r="P447" i="9" s="1"/>
  <c r="P446" i="9"/>
  <c r="N446" i="9"/>
  <c r="M446" i="9"/>
  <c r="P445" i="9"/>
  <c r="O445" i="9"/>
  <c r="N445" i="9"/>
  <c r="M445" i="9"/>
  <c r="M444" i="9" s="1"/>
  <c r="P444" i="9" s="1"/>
  <c r="L445" i="9"/>
  <c r="N444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K435" i="9" s="1"/>
  <c r="J434" i="9"/>
  <c r="P431" i="9"/>
  <c r="L431" i="9"/>
  <c r="P430" i="9"/>
  <c r="O430" i="9"/>
  <c r="N429" i="9"/>
  <c r="M429" i="9"/>
  <c r="P429" i="9" s="1"/>
  <c r="P424" i="9"/>
  <c r="N424" i="9"/>
  <c r="L424" i="9"/>
  <c r="O424" i="9" s="1"/>
  <c r="P423" i="9"/>
  <c r="O423" i="9"/>
  <c r="N422" i="9"/>
  <c r="M422" i="9"/>
  <c r="P422" i="9" s="1"/>
  <c r="N421" i="9"/>
  <c r="M421" i="9"/>
  <c r="P421" i="9" s="1"/>
  <c r="P420" i="9"/>
  <c r="N420" i="9"/>
  <c r="M420" i="9"/>
  <c r="M419" i="9" s="1"/>
  <c r="L420" i="9"/>
  <c r="O420" i="9" s="1"/>
  <c r="N419" i="9"/>
  <c r="J418" i="9"/>
  <c r="K413" i="9"/>
  <c r="K412" i="9"/>
  <c r="N410" i="9"/>
  <c r="N408" i="9" s="1"/>
  <c r="M410" i="9"/>
  <c r="P410" i="9" s="1"/>
  <c r="L410" i="9"/>
  <c r="L408" i="9" s="1"/>
  <c r="O408" i="9" s="1"/>
  <c r="P409" i="9"/>
  <c r="O409" i="9"/>
  <c r="N407" i="9"/>
  <c r="N405" i="9" s="1"/>
  <c r="M407" i="9"/>
  <c r="P407" i="9" s="1"/>
  <c r="L407" i="9"/>
  <c r="L405" i="9" s="1"/>
  <c r="O405" i="9" s="1"/>
  <c r="P406" i="9"/>
  <c r="O406" i="9"/>
  <c r="O403" i="9"/>
  <c r="N403" i="9"/>
  <c r="M403" i="9"/>
  <c r="P403" i="9" s="1"/>
  <c r="L403" i="9"/>
  <c r="J401" i="9"/>
  <c r="I401" i="9"/>
  <c r="K401" i="9" s="1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P394" i="9" s="1"/>
  <c r="L394" i="9"/>
  <c r="O394" i="9" s="1"/>
  <c r="P393" i="9"/>
  <c r="O393" i="9"/>
  <c r="P390" i="9"/>
  <c r="N390" i="9"/>
  <c r="M390" i="9"/>
  <c r="L390" i="9"/>
  <c r="O390" i="9" s="1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L353" i="9"/>
  <c r="L351" i="9" s="1"/>
  <c r="P352" i="9"/>
  <c r="O352" i="9"/>
  <c r="N350" i="9"/>
  <c r="N348" i="9" s="1"/>
  <c r="M350" i="9"/>
  <c r="L350" i="9"/>
  <c r="P349" i="9"/>
  <c r="O349" i="9"/>
  <c r="P346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O336" i="9" s="1"/>
  <c r="P335" i="9"/>
  <c r="O335" i="9"/>
  <c r="N333" i="9"/>
  <c r="N331" i="9" s="1"/>
  <c r="M333" i="9"/>
  <c r="L333" i="9"/>
  <c r="P332" i="9"/>
  <c r="O332" i="9"/>
  <c r="P329" i="9"/>
  <c r="N329" i="9"/>
  <c r="M329" i="9"/>
  <c r="L329" i="9"/>
  <c r="O329" i="9" s="1"/>
  <c r="I327" i="9"/>
  <c r="I325" i="9"/>
  <c r="K325" i="9" s="1"/>
  <c r="N323" i="9"/>
  <c r="M323" i="9"/>
  <c r="L323" i="9"/>
  <c r="O323" i="9" s="1"/>
  <c r="P322" i="9"/>
  <c r="O322" i="9"/>
  <c r="N320" i="9"/>
  <c r="N318" i="9" s="1"/>
  <c r="M320" i="9"/>
  <c r="L320" i="9"/>
  <c r="L318" i="9" s="1"/>
  <c r="O318" i="9" s="1"/>
  <c r="P319" i="9"/>
  <c r="O319" i="9"/>
  <c r="P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L304" i="9" s="1"/>
  <c r="O304" i="9" s="1"/>
  <c r="P305" i="9"/>
  <c r="O305" i="9"/>
  <c r="N303" i="9"/>
  <c r="N301" i="9" s="1"/>
  <c r="M303" i="9"/>
  <c r="L303" i="9"/>
  <c r="L301" i="9" s="1"/>
  <c r="O301" i="9" s="1"/>
  <c r="P302" i="9"/>
  <c r="O302" i="9"/>
  <c r="N299" i="9"/>
  <c r="M299" i="9"/>
  <c r="P299" i="9" s="1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I276" i="9" s="1"/>
  <c r="K276" i="9" s="1"/>
  <c r="N285" i="9"/>
  <c r="N283" i="9" s="1"/>
  <c r="M285" i="9"/>
  <c r="M283" i="9" s="1"/>
  <c r="P283" i="9" s="1"/>
  <c r="L285" i="9"/>
  <c r="O285" i="9" s="1"/>
  <c r="P284" i="9"/>
  <c r="O284" i="9"/>
  <c r="N282" i="9"/>
  <c r="N280" i="9" s="1"/>
  <c r="M282" i="9"/>
  <c r="M280" i="9" s="1"/>
  <c r="P280" i="9" s="1"/>
  <c r="L282" i="9"/>
  <c r="O282" i="9" s="1"/>
  <c r="P281" i="9"/>
  <c r="O281" i="9"/>
  <c r="O278" i="9"/>
  <c r="N278" i="9"/>
  <c r="M278" i="9"/>
  <c r="L278" i="9"/>
  <c r="J276" i="9"/>
  <c r="I271" i="9"/>
  <c r="K271" i="9" s="1"/>
  <c r="N269" i="9"/>
  <c r="N267" i="9" s="1"/>
  <c r="M269" i="9"/>
  <c r="L269" i="9"/>
  <c r="L267" i="9" s="1"/>
  <c r="O267" i="9" s="1"/>
  <c r="P268" i="9"/>
  <c r="O268" i="9"/>
  <c r="N266" i="9"/>
  <c r="N264" i="9" s="1"/>
  <c r="M266" i="9"/>
  <c r="L266" i="9"/>
  <c r="P265" i="9"/>
  <c r="O265" i="9"/>
  <c r="O262" i="9"/>
  <c r="N262" i="9"/>
  <c r="M262" i="9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K236" i="9"/>
  <c r="J236" i="9"/>
  <c r="I236" i="9"/>
  <c r="K235" i="9"/>
  <c r="J235" i="9"/>
  <c r="I235" i="9"/>
  <c r="J233" i="9"/>
  <c r="N231" i="9"/>
  <c r="N230" i="9"/>
  <c r="N229" i="9"/>
  <c r="N228" i="9"/>
  <c r="N227" i="9"/>
  <c r="J226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M186" i="9"/>
  <c r="M184" i="9" s="1"/>
  <c r="L186" i="9"/>
  <c r="P185" i="9"/>
  <c r="O185" i="9"/>
  <c r="O182" i="9"/>
  <c r="N182" i="9"/>
  <c r="M182" i="9"/>
  <c r="L182" i="9"/>
  <c r="K180" i="9"/>
  <c r="J180" i="9"/>
  <c r="J177" i="9"/>
  <c r="J164" i="9" s="1"/>
  <c r="I176" i="9"/>
  <c r="K176" i="9" s="1"/>
  <c r="J174" i="9"/>
  <c r="N173" i="9"/>
  <c r="N171" i="9" s="1"/>
  <c r="M173" i="9"/>
  <c r="L173" i="9"/>
  <c r="P172" i="9"/>
  <c r="O172" i="9"/>
  <c r="N170" i="9"/>
  <c r="M170" i="9"/>
  <c r="L170" i="9"/>
  <c r="P169" i="9"/>
  <c r="O169" i="9"/>
  <c r="P166" i="9"/>
  <c r="N166" i="9"/>
  <c r="M166" i="9"/>
  <c r="L166" i="9"/>
  <c r="I159" i="9"/>
  <c r="K159" i="9" s="1"/>
  <c r="N157" i="9"/>
  <c r="N155" i="9" s="1"/>
  <c r="M157" i="9"/>
  <c r="P157" i="9" s="1"/>
  <c r="L157" i="9"/>
  <c r="L155" i="9" s="1"/>
  <c r="O155" i="9" s="1"/>
  <c r="P156" i="9"/>
  <c r="O156" i="9"/>
  <c r="N154" i="9"/>
  <c r="M154" i="9"/>
  <c r="P154" i="9" s="1"/>
  <c r="L154" i="9"/>
  <c r="L152" i="9" s="1"/>
  <c r="O152" i="9" s="1"/>
  <c r="P153" i="9"/>
  <c r="O153" i="9"/>
  <c r="N150" i="9"/>
  <c r="M150" i="9"/>
  <c r="P150" i="9" s="1"/>
  <c r="L150" i="9"/>
  <c r="J148" i="9"/>
  <c r="I146" i="9"/>
  <c r="I145" i="9"/>
  <c r="K145" i="9" s="1"/>
  <c r="I144" i="9"/>
  <c r="K144" i="9" s="1"/>
  <c r="N140" i="9"/>
  <c r="M140" i="9"/>
  <c r="L140" i="9"/>
  <c r="P139" i="9"/>
  <c r="O139" i="9"/>
  <c r="N137" i="9"/>
  <c r="N135" i="9" s="1"/>
  <c r="M137" i="9"/>
  <c r="L137" i="9"/>
  <c r="P136" i="9"/>
  <c r="O136" i="9"/>
  <c r="O133" i="9"/>
  <c r="N133" i="9"/>
  <c r="M133" i="9"/>
  <c r="P133" i="9" s="1"/>
  <c r="L133" i="9"/>
  <c r="J130" i="9"/>
  <c r="N127" i="9"/>
  <c r="M127" i="9"/>
  <c r="L127" i="9"/>
  <c r="L125" i="9" s="1"/>
  <c r="P126" i="9"/>
  <c r="O126" i="9"/>
  <c r="N124" i="9"/>
  <c r="M124" i="9"/>
  <c r="L124" i="9"/>
  <c r="L122" i="9" s="1"/>
  <c r="O122" i="9" s="1"/>
  <c r="P123" i="9"/>
  <c r="O123" i="9"/>
  <c r="N120" i="9"/>
  <c r="M120" i="9"/>
  <c r="P120" i="9" s="1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J98" i="9"/>
  <c r="I98" i="9"/>
  <c r="I86" i="9" s="1"/>
  <c r="K86" i="9" s="1"/>
  <c r="N96" i="9"/>
  <c r="N94" i="9" s="1"/>
  <c r="M96" i="9"/>
  <c r="L96" i="9"/>
  <c r="O96" i="9" s="1"/>
  <c r="P95" i="9"/>
  <c r="O95" i="9"/>
  <c r="N93" i="9"/>
  <c r="M93" i="9"/>
  <c r="L93" i="9"/>
  <c r="P92" i="9"/>
  <c r="O92" i="9"/>
  <c r="P89" i="9"/>
  <c r="N89" i="9"/>
  <c r="M89" i="9"/>
  <c r="L89" i="9"/>
  <c r="J87" i="9"/>
  <c r="J86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K78" i="9" s="1"/>
  <c r="J77" i="9"/>
  <c r="J76" i="9"/>
  <c r="J64" i="9" s="1"/>
  <c r="N74" i="9"/>
  <c r="N72" i="9" s="1"/>
  <c r="M74" i="9"/>
  <c r="P74" i="9" s="1"/>
  <c r="L74" i="9"/>
  <c r="O74" i="9" s="1"/>
  <c r="P73" i="9"/>
  <c r="O73" i="9"/>
  <c r="N71" i="9"/>
  <c r="N69" i="9" s="1"/>
  <c r="M71" i="9"/>
  <c r="L71" i="9"/>
  <c r="P70" i="9"/>
  <c r="O70" i="9"/>
  <c r="P67" i="9"/>
  <c r="O67" i="9"/>
  <c r="N67" i="9"/>
  <c r="M67" i="9"/>
  <c r="L67" i="9"/>
  <c r="J65" i="9"/>
  <c r="N61" i="9"/>
  <c r="M61" i="9"/>
  <c r="P61" i="9" s="1"/>
  <c r="L61" i="9"/>
  <c r="L59" i="9" s="1"/>
  <c r="O59" i="9" s="1"/>
  <c r="P60" i="9"/>
  <c r="O60" i="9"/>
  <c r="N58" i="9"/>
  <c r="N56" i="9" s="1"/>
  <c r="M58" i="9"/>
  <c r="M56" i="9" s="1"/>
  <c r="L58" i="9"/>
  <c r="L56" i="9" s="1"/>
  <c r="P57" i="9"/>
  <c r="O57" i="9"/>
  <c r="N54" i="9"/>
  <c r="M54" i="9"/>
  <c r="P54" i="9" s="1"/>
  <c r="L54" i="9"/>
  <c r="O54" i="9" s="1"/>
  <c r="N49" i="9"/>
  <c r="M49" i="9"/>
  <c r="P49" i="9" s="1"/>
  <c r="L49" i="9"/>
  <c r="P48" i="9"/>
  <c r="O48" i="9"/>
  <c r="N46" i="9"/>
  <c r="N44" i="9" s="1"/>
  <c r="M46" i="9"/>
  <c r="L46" i="9"/>
  <c r="P45" i="9"/>
  <c r="O45" i="9"/>
  <c r="P42" i="9"/>
  <c r="O42" i="9"/>
  <c r="N42" i="9"/>
  <c r="M42" i="9"/>
  <c r="L42" i="9"/>
  <c r="N36" i="9"/>
  <c r="M36" i="9"/>
  <c r="P36" i="9" s="1"/>
  <c r="N35" i="9"/>
  <c r="M35" i="9"/>
  <c r="L35" i="9"/>
  <c r="O35" i="9" s="1"/>
  <c r="P33" i="9"/>
  <c r="N33" i="9"/>
  <c r="M33" i="9"/>
  <c r="P32" i="9"/>
  <c r="O32" i="9"/>
  <c r="N32" i="9"/>
  <c r="N29" i="9" s="1"/>
  <c r="M32" i="9"/>
  <c r="M31" i="9" s="1"/>
  <c r="P31" i="9" s="1"/>
  <c r="L32" i="9"/>
  <c r="N31" i="9"/>
  <c r="N30" i="9"/>
  <c r="M29" i="9"/>
  <c r="L29" i="9"/>
  <c r="O29" i="9" s="1"/>
  <c r="P25" i="9"/>
  <c r="O25" i="9"/>
  <c r="N25" i="9"/>
  <c r="N15" i="9" s="1"/>
  <c r="M25" i="9"/>
  <c r="L25" i="9"/>
  <c r="N22" i="9"/>
  <c r="M22" i="9"/>
  <c r="L22" i="9"/>
  <c r="N19" i="9"/>
  <c r="M15" i="9"/>
  <c r="N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M808" i="8"/>
  <c r="P808" i="8" s="1"/>
  <c r="L808" i="8"/>
  <c r="O808" i="8" s="1"/>
  <c r="M807" i="8"/>
  <c r="P807" i="8" s="1"/>
  <c r="L807" i="8"/>
  <c r="O807" i="8" s="1"/>
  <c r="P806" i="8"/>
  <c r="N806" i="8"/>
  <c r="M806" i="8"/>
  <c r="L806" i="8"/>
  <c r="O806" i="8" s="1"/>
  <c r="K804" i="8"/>
  <c r="J804" i="8"/>
  <c r="K802" i="8"/>
  <c r="J801" i="8"/>
  <c r="J800" i="8"/>
  <c r="J785" i="8" s="1"/>
  <c r="I800" i="8"/>
  <c r="I785" i="8" s="1"/>
  <c r="K785" i="8" s="1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P790" i="8"/>
  <c r="O790" i="8"/>
  <c r="N789" i="8"/>
  <c r="M789" i="8"/>
  <c r="P789" i="8" s="1"/>
  <c r="M788" i="8"/>
  <c r="P788" i="8" s="1"/>
  <c r="L788" i="8"/>
  <c r="O788" i="8" s="1"/>
  <c r="P787" i="8"/>
  <c r="N787" i="8"/>
  <c r="M787" i="8"/>
  <c r="L787" i="8"/>
  <c r="O787" i="8" s="1"/>
  <c r="P782" i="8"/>
  <c r="O782" i="8"/>
  <c r="P781" i="8"/>
  <c r="O781" i="8"/>
  <c r="P780" i="8"/>
  <c r="O780" i="8"/>
  <c r="N780" i="8"/>
  <c r="M780" i="8"/>
  <c r="L780" i="8"/>
  <c r="P775" i="8"/>
  <c r="O775" i="8"/>
  <c r="N775" i="8"/>
  <c r="P774" i="8"/>
  <c r="O774" i="8"/>
  <c r="O773" i="8"/>
  <c r="N773" i="8"/>
  <c r="M773" i="8"/>
  <c r="P773" i="8" s="1"/>
  <c r="L773" i="8"/>
  <c r="N772" i="8"/>
  <c r="N770" i="8" s="1"/>
  <c r="M772" i="8"/>
  <c r="P772" i="8" s="1"/>
  <c r="L772" i="8"/>
  <c r="O772" i="8" s="1"/>
  <c r="N771" i="8"/>
  <c r="M771" i="8"/>
  <c r="P771" i="8" s="1"/>
  <c r="L771" i="8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N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P755" i="8" s="1"/>
  <c r="L755" i="8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P738" i="8" s="1"/>
  <c r="L738" i="8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P690" i="8"/>
  <c r="N690" i="8"/>
  <c r="N687" i="8" s="1"/>
  <c r="N685" i="8" s="1"/>
  <c r="L690" i="8"/>
  <c r="L688" i="8" s="1"/>
  <c r="O688" i="8" s="1"/>
  <c r="N688" i="8"/>
  <c r="M688" i="8"/>
  <c r="P688" i="8" s="1"/>
  <c r="M687" i="8"/>
  <c r="P687" i="8" s="1"/>
  <c r="P686" i="8"/>
  <c r="N686" i="8"/>
  <c r="M686" i="8"/>
  <c r="L686" i="8"/>
  <c r="O686" i="8" s="1"/>
  <c r="J679" i="8"/>
  <c r="J678" i="8" s="1"/>
  <c r="I678" i="8"/>
  <c r="K678" i="8" s="1"/>
  <c r="J675" i="8"/>
  <c r="I671" i="8"/>
  <c r="K671" i="8" s="1"/>
  <c r="I670" i="8"/>
  <c r="K670" i="8" s="1"/>
  <c r="J669" i="8"/>
  <c r="I669" i="8"/>
  <c r="K673" i="8" s="1"/>
  <c r="P667" i="8"/>
  <c r="O667" i="8"/>
  <c r="P666" i="8"/>
  <c r="O666" i="8"/>
  <c r="P665" i="8"/>
  <c r="N665" i="8"/>
  <c r="M665" i="8"/>
  <c r="L665" i="8"/>
  <c r="O665" i="8" s="1"/>
  <c r="P660" i="8"/>
  <c r="N660" i="8"/>
  <c r="N657" i="8" s="1"/>
  <c r="L660" i="8"/>
  <c r="P659" i="8"/>
  <c r="O659" i="8"/>
  <c r="P658" i="8"/>
  <c r="N658" i="8"/>
  <c r="M658" i="8"/>
  <c r="P657" i="8"/>
  <c r="M657" i="8"/>
  <c r="O656" i="8"/>
  <c r="N656" i="8"/>
  <c r="M656" i="8"/>
  <c r="P656" i="8" s="1"/>
  <c r="L656" i="8"/>
  <c r="M655" i="8"/>
  <c r="P655" i="8" s="1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N639" i="8"/>
  <c r="M639" i="8"/>
  <c r="P639" i="8" s="1"/>
  <c r="P634" i="8"/>
  <c r="N634" i="8"/>
  <c r="L634" i="8"/>
  <c r="O634" i="8" s="1"/>
  <c r="P633" i="8"/>
  <c r="O633" i="8"/>
  <c r="N632" i="8"/>
  <c r="M632" i="8"/>
  <c r="P632" i="8" s="1"/>
  <c r="P631" i="8"/>
  <c r="N631" i="8"/>
  <c r="M631" i="8"/>
  <c r="P630" i="8"/>
  <c r="O630" i="8"/>
  <c r="N630" i="8"/>
  <c r="N629" i="8" s="1"/>
  <c r="M630" i="8"/>
  <c r="L630" i="8"/>
  <c r="P629" i="8"/>
  <c r="M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5" i="8"/>
  <c r="J594" i="8"/>
  <c r="I594" i="8"/>
  <c r="I593" i="8"/>
  <c r="I592" i="8" s="1"/>
  <c r="J592" i="8"/>
  <c r="J583" i="8"/>
  <c r="J582" i="8"/>
  <c r="J577" i="8"/>
  <c r="I577" i="8"/>
  <c r="K577" i="8" s="1"/>
  <c r="J576" i="8"/>
  <c r="I576" i="8"/>
  <c r="K576" i="8" s="1"/>
  <c r="J569" i="8"/>
  <c r="I569" i="8"/>
  <c r="J568" i="8"/>
  <c r="I568" i="8"/>
  <c r="K568" i="8" s="1"/>
  <c r="J561" i="8"/>
  <c r="I561" i="8"/>
  <c r="J560" i="8"/>
  <c r="I560" i="8"/>
  <c r="K560" i="8" s="1"/>
  <c r="J559" i="8"/>
  <c r="J543" i="8" s="1"/>
  <c r="P557" i="8"/>
  <c r="L557" i="8"/>
  <c r="P556" i="8"/>
  <c r="O556" i="8"/>
  <c r="P555" i="8"/>
  <c r="N555" i="8"/>
  <c r="M555" i="8"/>
  <c r="P549" i="8"/>
  <c r="N549" i="8"/>
  <c r="L549" i="8"/>
  <c r="P548" i="8"/>
  <c r="O548" i="8"/>
  <c r="P547" i="8"/>
  <c r="N547" i="8"/>
  <c r="M547" i="8"/>
  <c r="N546" i="8"/>
  <c r="M546" i="8"/>
  <c r="P546" i="8" s="1"/>
  <c r="N545" i="8"/>
  <c r="N544" i="8" s="1"/>
  <c r="M545" i="8"/>
  <c r="L545" i="8"/>
  <c r="O545" i="8" s="1"/>
  <c r="I542" i="8"/>
  <c r="K542" i="8" s="1"/>
  <c r="I541" i="8"/>
  <c r="K541" i="8" s="1"/>
  <c r="I540" i="8"/>
  <c r="K540" i="8" s="1"/>
  <c r="I539" i="8"/>
  <c r="I538" i="8"/>
  <c r="K538" i="8" s="1"/>
  <c r="I537" i="8"/>
  <c r="K537" i="8" s="1"/>
  <c r="P535" i="8"/>
  <c r="L535" i="8"/>
  <c r="P534" i="8"/>
  <c r="O534" i="8"/>
  <c r="N533" i="8"/>
  <c r="M533" i="8"/>
  <c r="P533" i="8" s="1"/>
  <c r="P528" i="8"/>
  <c r="N528" i="8"/>
  <c r="L528" i="8"/>
  <c r="P527" i="8"/>
  <c r="O527" i="8"/>
  <c r="M526" i="8"/>
  <c r="P526" i="8" s="1"/>
  <c r="M525" i="8"/>
  <c r="P524" i="8"/>
  <c r="N524" i="8"/>
  <c r="M524" i="8"/>
  <c r="L524" i="8"/>
  <c r="K517" i="8"/>
  <c r="J517" i="8"/>
  <c r="J501" i="8" s="1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P506" i="8"/>
  <c r="O506" i="8"/>
  <c r="P505" i="8"/>
  <c r="N505" i="8"/>
  <c r="M505" i="8"/>
  <c r="L505" i="8"/>
  <c r="O505" i="8" s="1"/>
  <c r="P504" i="8"/>
  <c r="O504" i="8"/>
  <c r="N504" i="8"/>
  <c r="M504" i="8"/>
  <c r="L504" i="8"/>
  <c r="P503" i="8"/>
  <c r="O503" i="8"/>
  <c r="N503" i="8"/>
  <c r="M503" i="8"/>
  <c r="M502" i="8" s="1"/>
  <c r="P502" i="8" s="1"/>
  <c r="L503" i="8"/>
  <c r="O502" i="8"/>
  <c r="N502" i="8"/>
  <c r="L502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N477" i="8"/>
  <c r="M477" i="8"/>
  <c r="P477" i="8" s="1"/>
  <c r="P472" i="8"/>
  <c r="N472" i="8"/>
  <c r="L472" i="8"/>
  <c r="O472" i="8" s="1"/>
  <c r="P471" i="8"/>
  <c r="O471" i="8"/>
  <c r="P470" i="8"/>
  <c r="N470" i="8"/>
  <c r="M470" i="8"/>
  <c r="P469" i="8"/>
  <c r="N469" i="8"/>
  <c r="M469" i="8"/>
  <c r="P468" i="8"/>
  <c r="O468" i="8"/>
  <c r="N468" i="8"/>
  <c r="M468" i="8"/>
  <c r="M467" i="8" s="1"/>
  <c r="P467" i="8" s="1"/>
  <c r="L468" i="8"/>
  <c r="N467" i="8"/>
  <c r="J466" i="8"/>
  <c r="I466" i="8"/>
  <c r="K466" i="8" s="1"/>
  <c r="J465" i="8"/>
  <c r="I465" i="8"/>
  <c r="K465" i="8" s="1"/>
  <c r="I464" i="8"/>
  <c r="I463" i="8"/>
  <c r="I462" i="8"/>
  <c r="I443" i="8" s="1"/>
  <c r="K443" i="8" s="1"/>
  <c r="I460" i="8"/>
  <c r="K458" i="8"/>
  <c r="P456" i="8"/>
  <c r="L456" i="8"/>
  <c r="P455" i="8"/>
  <c r="O455" i="8"/>
  <c r="N454" i="8"/>
  <c r="M454" i="8"/>
  <c r="P454" i="8" s="1"/>
  <c r="P449" i="8"/>
  <c r="N449" i="8"/>
  <c r="L449" i="8"/>
  <c r="P448" i="8"/>
  <c r="O448" i="8"/>
  <c r="N447" i="8"/>
  <c r="M447" i="8"/>
  <c r="P447" i="8" s="1"/>
  <c r="P446" i="8"/>
  <c r="N446" i="8"/>
  <c r="M446" i="8"/>
  <c r="P445" i="8"/>
  <c r="O445" i="8"/>
  <c r="N445" i="8"/>
  <c r="N444" i="8" s="1"/>
  <c r="M445" i="8"/>
  <c r="L445" i="8"/>
  <c r="P444" i="8"/>
  <c r="M444" i="8"/>
  <c r="J443" i="8"/>
  <c r="J442" i="8"/>
  <c r="I441" i="8"/>
  <c r="K441" i="8" s="1"/>
  <c r="I440" i="8"/>
  <c r="I439" i="8"/>
  <c r="I438" i="8"/>
  <c r="K438" i="8" s="1"/>
  <c r="I437" i="8"/>
  <c r="K437" i="8" s="1"/>
  <c r="I435" i="8"/>
  <c r="J434" i="8"/>
  <c r="J418" i="8" s="1"/>
  <c r="P431" i="8"/>
  <c r="L431" i="8"/>
  <c r="P430" i="8"/>
  <c r="O430" i="8"/>
  <c r="N429" i="8"/>
  <c r="M429" i="8"/>
  <c r="P429" i="8" s="1"/>
  <c r="P424" i="8"/>
  <c r="N424" i="8"/>
  <c r="L424" i="8"/>
  <c r="P423" i="8"/>
  <c r="O423" i="8"/>
  <c r="N422" i="8"/>
  <c r="M422" i="8"/>
  <c r="P422" i="8" s="1"/>
  <c r="P421" i="8"/>
  <c r="N421" i="8"/>
  <c r="M421" i="8"/>
  <c r="P420" i="8"/>
  <c r="O420" i="8"/>
  <c r="N420" i="8"/>
  <c r="N419" i="8" s="1"/>
  <c r="M420" i="8"/>
  <c r="L420" i="8"/>
  <c r="P419" i="8"/>
  <c r="M419" i="8"/>
  <c r="K413" i="8"/>
  <c r="K412" i="8"/>
  <c r="N410" i="8"/>
  <c r="N408" i="8" s="1"/>
  <c r="M410" i="8"/>
  <c r="M408" i="8" s="1"/>
  <c r="P408" i="8" s="1"/>
  <c r="L410" i="8"/>
  <c r="P409" i="8"/>
  <c r="O409" i="8"/>
  <c r="N407" i="8"/>
  <c r="M407" i="8"/>
  <c r="L407" i="8"/>
  <c r="L405" i="8" s="1"/>
  <c r="O405" i="8" s="1"/>
  <c r="P406" i="8"/>
  <c r="O406" i="8"/>
  <c r="O403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L397" i="8"/>
  <c r="P396" i="8"/>
  <c r="O396" i="8"/>
  <c r="N394" i="8"/>
  <c r="N392" i="8" s="1"/>
  <c r="M394" i="8"/>
  <c r="L394" i="8"/>
  <c r="L392" i="8" s="1"/>
  <c r="O392" i="8" s="1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M353" i="8"/>
  <c r="M351" i="8" s="1"/>
  <c r="L353" i="8"/>
  <c r="P352" i="8"/>
  <c r="O352" i="8"/>
  <c r="N350" i="8"/>
  <c r="M350" i="8"/>
  <c r="M348" i="8" s="1"/>
  <c r="L350" i="8"/>
  <c r="P349" i="8"/>
  <c r="O349" i="8"/>
  <c r="P346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M336" i="8"/>
  <c r="P336" i="8" s="1"/>
  <c r="L336" i="8"/>
  <c r="O336" i="8" s="1"/>
  <c r="P335" i="8"/>
  <c r="O335" i="8"/>
  <c r="N333" i="8"/>
  <c r="M333" i="8"/>
  <c r="L333" i="8"/>
  <c r="P332" i="8"/>
  <c r="O332" i="8"/>
  <c r="P329" i="8"/>
  <c r="O329" i="8"/>
  <c r="N329" i="8"/>
  <c r="M329" i="8"/>
  <c r="L329" i="8"/>
  <c r="I327" i="8"/>
  <c r="I325" i="8"/>
  <c r="K325" i="8" s="1"/>
  <c r="N323" i="8"/>
  <c r="N321" i="8" s="1"/>
  <c r="M323" i="8"/>
  <c r="L323" i="8"/>
  <c r="O323" i="8" s="1"/>
  <c r="P322" i="8"/>
  <c r="O322" i="8"/>
  <c r="N320" i="8"/>
  <c r="N318" i="8" s="1"/>
  <c r="M320" i="8"/>
  <c r="L320" i="8"/>
  <c r="L318" i="8" s="1"/>
  <c r="O318" i="8" s="1"/>
  <c r="P319" i="8"/>
  <c r="O319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M306" i="8"/>
  <c r="L306" i="8"/>
  <c r="L304" i="8" s="1"/>
  <c r="O304" i="8" s="1"/>
  <c r="P305" i="8"/>
  <c r="O305" i="8"/>
  <c r="N303" i="8"/>
  <c r="N301" i="8" s="1"/>
  <c r="M303" i="8"/>
  <c r="L303" i="8"/>
  <c r="L301" i="8" s="1"/>
  <c r="P302" i="8"/>
  <c r="O302" i="8"/>
  <c r="O299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N283" i="8" s="1"/>
  <c r="M285" i="8"/>
  <c r="M283" i="8" s="1"/>
  <c r="P283" i="8" s="1"/>
  <c r="L285" i="8"/>
  <c r="O285" i="8" s="1"/>
  <c r="P284" i="8"/>
  <c r="O284" i="8"/>
  <c r="N282" i="8"/>
  <c r="M282" i="8"/>
  <c r="M280" i="8" s="1"/>
  <c r="L282" i="8"/>
  <c r="L280" i="8" s="1"/>
  <c r="P281" i="8"/>
  <c r="O281" i="8"/>
  <c r="O278" i="8"/>
  <c r="N278" i="8"/>
  <c r="M278" i="8"/>
  <c r="L278" i="8"/>
  <c r="J276" i="8"/>
  <c r="I271" i="8"/>
  <c r="I260" i="8" s="1"/>
  <c r="N269" i="8"/>
  <c r="N267" i="8" s="1"/>
  <c r="M269" i="8"/>
  <c r="P269" i="8" s="1"/>
  <c r="L269" i="8"/>
  <c r="P268" i="8"/>
  <c r="O268" i="8"/>
  <c r="N266" i="8"/>
  <c r="N264" i="8" s="1"/>
  <c r="M266" i="8"/>
  <c r="L266" i="8"/>
  <c r="L264" i="8" s="1"/>
  <c r="P265" i="8"/>
  <c r="O265" i="8"/>
  <c r="N262" i="8"/>
  <c r="M262" i="8"/>
  <c r="P262" i="8" s="1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N227" i="8" s="1"/>
  <c r="J237" i="8"/>
  <c r="J226" i="8" s="1"/>
  <c r="J180" i="8" s="1"/>
  <c r="K236" i="8"/>
  <c r="J236" i="8"/>
  <c r="I236" i="8"/>
  <c r="K235" i="8"/>
  <c r="J235" i="8"/>
  <c r="I235" i="8"/>
  <c r="J233" i="8"/>
  <c r="N231" i="8"/>
  <c r="N230" i="8"/>
  <c r="N229" i="8"/>
  <c r="N228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M189" i="8"/>
  <c r="M187" i="8" s="1"/>
  <c r="P187" i="8" s="1"/>
  <c r="L189" i="8"/>
  <c r="P188" i="8"/>
  <c r="O188" i="8"/>
  <c r="N186" i="8"/>
  <c r="M186" i="8"/>
  <c r="M184" i="8" s="1"/>
  <c r="L186" i="8"/>
  <c r="L184" i="8" s="1"/>
  <c r="P185" i="8"/>
  <c r="O185" i="8"/>
  <c r="O182" i="8"/>
  <c r="N182" i="8"/>
  <c r="M182" i="8"/>
  <c r="L182" i="8"/>
  <c r="K180" i="8"/>
  <c r="J177" i="8"/>
  <c r="J164" i="8" s="1"/>
  <c r="I176" i="8"/>
  <c r="J174" i="8"/>
  <c r="N173" i="8"/>
  <c r="N171" i="8" s="1"/>
  <c r="M173" i="8"/>
  <c r="L173" i="8"/>
  <c r="L171" i="8" s="1"/>
  <c r="O171" i="8" s="1"/>
  <c r="P172" i="8"/>
  <c r="O172" i="8"/>
  <c r="N170" i="8"/>
  <c r="M170" i="8"/>
  <c r="L170" i="8"/>
  <c r="L168" i="8" s="1"/>
  <c r="P169" i="8"/>
  <c r="O169" i="8"/>
  <c r="P166" i="8"/>
  <c r="O166" i="8"/>
  <c r="N166" i="8"/>
  <c r="M166" i="8"/>
  <c r="L166" i="8"/>
  <c r="I159" i="8"/>
  <c r="N157" i="8"/>
  <c r="N155" i="8" s="1"/>
  <c r="M157" i="8"/>
  <c r="M155" i="8" s="1"/>
  <c r="P155" i="8" s="1"/>
  <c r="L157" i="8"/>
  <c r="O157" i="8" s="1"/>
  <c r="P156" i="8"/>
  <c r="O156" i="8"/>
  <c r="N154" i="8"/>
  <c r="N152" i="8" s="1"/>
  <c r="M154" i="8"/>
  <c r="L154" i="8"/>
  <c r="P153" i="8"/>
  <c r="O153" i="8"/>
  <c r="P150" i="8"/>
  <c r="N150" i="8"/>
  <c r="M150" i="8"/>
  <c r="L150" i="8"/>
  <c r="O150" i="8" s="1"/>
  <c r="J148" i="8"/>
  <c r="I146" i="8"/>
  <c r="I145" i="8"/>
  <c r="I143" i="8" s="1"/>
  <c r="I144" i="8"/>
  <c r="N140" i="8"/>
  <c r="N138" i="8" s="1"/>
  <c r="M140" i="8"/>
  <c r="P140" i="8" s="1"/>
  <c r="L140" i="8"/>
  <c r="O140" i="8" s="1"/>
  <c r="P139" i="8"/>
  <c r="O139" i="8"/>
  <c r="N137" i="8"/>
  <c r="N135" i="8" s="1"/>
  <c r="M137" i="8"/>
  <c r="M135" i="8" s="1"/>
  <c r="P135" i="8" s="1"/>
  <c r="L137" i="8"/>
  <c r="P136" i="8"/>
  <c r="O136" i="8"/>
  <c r="P133" i="8"/>
  <c r="O133" i="8"/>
  <c r="N133" i="8"/>
  <c r="M133" i="8"/>
  <c r="L133" i="8"/>
  <c r="J130" i="8"/>
  <c r="N127" i="8"/>
  <c r="M127" i="8"/>
  <c r="L127" i="8"/>
  <c r="O127" i="8" s="1"/>
  <c r="P126" i="8"/>
  <c r="O126" i="8"/>
  <c r="N124" i="8"/>
  <c r="N122" i="8" s="1"/>
  <c r="M124" i="8"/>
  <c r="P124" i="8" s="1"/>
  <c r="L124" i="8"/>
  <c r="L122" i="8" s="1"/>
  <c r="O122" i="8" s="1"/>
  <c r="P123" i="8"/>
  <c r="O123" i="8"/>
  <c r="N120" i="8"/>
  <c r="M120" i="8"/>
  <c r="P120" i="8" s="1"/>
  <c r="L120" i="8"/>
  <c r="O120" i="8" s="1"/>
  <c r="I116" i="8"/>
  <c r="K116" i="8" s="1"/>
  <c r="I115" i="8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I99" i="8"/>
  <c r="K99" i="8" s="1"/>
  <c r="J98" i="8"/>
  <c r="I98" i="8"/>
  <c r="N96" i="8"/>
  <c r="M96" i="8"/>
  <c r="M94" i="8" s="1"/>
  <c r="P94" i="8" s="1"/>
  <c r="L96" i="8"/>
  <c r="L94" i="8" s="1"/>
  <c r="O94" i="8" s="1"/>
  <c r="P95" i="8"/>
  <c r="O95" i="8"/>
  <c r="N93" i="8"/>
  <c r="N91" i="8" s="1"/>
  <c r="M93" i="8"/>
  <c r="M91" i="8" s="1"/>
  <c r="L93" i="8"/>
  <c r="P92" i="8"/>
  <c r="O92" i="8"/>
  <c r="N89" i="8"/>
  <c r="M89" i="8"/>
  <c r="P89" i="8" s="1"/>
  <c r="L89" i="8"/>
  <c r="O89" i="8" s="1"/>
  <c r="J87" i="8"/>
  <c r="J86" i="8"/>
  <c r="I84" i="8"/>
  <c r="K84" i="8" s="1"/>
  <c r="I83" i="8"/>
  <c r="K83" i="8" s="1"/>
  <c r="I82" i="8"/>
  <c r="K82" i="8" s="1"/>
  <c r="I81" i="8"/>
  <c r="I80" i="8"/>
  <c r="I79" i="8"/>
  <c r="K79" i="8" s="1"/>
  <c r="I78" i="8"/>
  <c r="K78" i="8" s="1"/>
  <c r="J77" i="8"/>
  <c r="J65" i="8" s="1"/>
  <c r="J76" i="8"/>
  <c r="N74" i="8"/>
  <c r="N72" i="8" s="1"/>
  <c r="M74" i="8"/>
  <c r="P74" i="8" s="1"/>
  <c r="L74" i="8"/>
  <c r="P73" i="8"/>
  <c r="O73" i="8"/>
  <c r="N71" i="8"/>
  <c r="N69" i="8" s="1"/>
  <c r="M71" i="8"/>
  <c r="M69" i="8" s="1"/>
  <c r="L71" i="8"/>
  <c r="P70" i="8"/>
  <c r="O70" i="8"/>
  <c r="N67" i="8"/>
  <c r="M67" i="8"/>
  <c r="L67" i="8"/>
  <c r="O67" i="8" s="1"/>
  <c r="J64" i="8"/>
  <c r="N61" i="8"/>
  <c r="N59" i="8" s="1"/>
  <c r="M61" i="8"/>
  <c r="L61" i="8"/>
  <c r="P60" i="8"/>
  <c r="O60" i="8"/>
  <c r="N58" i="8"/>
  <c r="N56" i="8" s="1"/>
  <c r="M58" i="8"/>
  <c r="M56" i="8" s="1"/>
  <c r="L58" i="8"/>
  <c r="L56" i="8" s="1"/>
  <c r="P57" i="8"/>
  <c r="O57" i="8"/>
  <c r="N54" i="8"/>
  <c r="M54" i="8"/>
  <c r="L54" i="8"/>
  <c r="O54" i="8" s="1"/>
  <c r="N49" i="8"/>
  <c r="M49" i="8"/>
  <c r="M47" i="8" s="1"/>
  <c r="P47" i="8" s="1"/>
  <c r="L49" i="8"/>
  <c r="P48" i="8"/>
  <c r="O48" i="8"/>
  <c r="N46" i="8"/>
  <c r="N44" i="8" s="1"/>
  <c r="M46" i="8"/>
  <c r="L46" i="8"/>
  <c r="P45" i="8"/>
  <c r="O45" i="8"/>
  <c r="P42" i="8"/>
  <c r="O42" i="8"/>
  <c r="N42" i="8"/>
  <c r="M42" i="8"/>
  <c r="L42" i="8"/>
  <c r="P36" i="8"/>
  <c r="N36" i="8"/>
  <c r="M36" i="8"/>
  <c r="O35" i="8"/>
  <c r="N35" i="8"/>
  <c r="M35" i="8"/>
  <c r="L35" i="8"/>
  <c r="N34" i="8"/>
  <c r="N33" i="8"/>
  <c r="M33" i="8"/>
  <c r="P33" i="8" s="1"/>
  <c r="P32" i="8"/>
  <c r="N32" i="8"/>
  <c r="M32" i="8"/>
  <c r="L32" i="8"/>
  <c r="M30" i="8"/>
  <c r="P30" i="8" s="1"/>
  <c r="N29" i="8"/>
  <c r="O25" i="8"/>
  <c r="N25" i="8"/>
  <c r="M25" i="8"/>
  <c r="P25" i="8" s="1"/>
  <c r="L25" i="8"/>
  <c r="P22" i="8"/>
  <c r="N22" i="8"/>
  <c r="M22" i="8"/>
  <c r="L22" i="8"/>
  <c r="M19" i="8"/>
  <c r="P19" i="8" s="1"/>
  <c r="N15" i="8"/>
  <c r="L15" i="8"/>
  <c r="M12" i="8"/>
  <c r="P12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P817" i="7"/>
  <c r="O817" i="7"/>
  <c r="P816" i="7"/>
  <c r="O816" i="7"/>
  <c r="O815" i="7"/>
  <c r="N815" i="7"/>
  <c r="M815" i="7"/>
  <c r="P815" i="7" s="1"/>
  <c r="L815" i="7"/>
  <c r="P810" i="7"/>
  <c r="O810" i="7"/>
  <c r="N810" i="7"/>
  <c r="P809" i="7"/>
  <c r="O809" i="7"/>
  <c r="O808" i="7"/>
  <c r="M808" i="7"/>
  <c r="P808" i="7" s="1"/>
  <c r="L808" i="7"/>
  <c r="P807" i="7"/>
  <c r="M807" i="7"/>
  <c r="L807" i="7"/>
  <c r="O806" i="7"/>
  <c r="N806" i="7"/>
  <c r="M806" i="7"/>
  <c r="P806" i="7" s="1"/>
  <c r="L806" i="7"/>
  <c r="K804" i="7"/>
  <c r="J804" i="7"/>
  <c r="K802" i="7"/>
  <c r="J801" i="7"/>
  <c r="J800" i="7"/>
  <c r="I800" i="7"/>
  <c r="P798" i="7"/>
  <c r="O798" i="7"/>
  <c r="P797" i="7"/>
  <c r="O797" i="7"/>
  <c r="P796" i="7"/>
  <c r="N796" i="7"/>
  <c r="M796" i="7"/>
  <c r="L796" i="7"/>
  <c r="O796" i="7" s="1"/>
  <c r="P791" i="7"/>
  <c r="N791" i="7"/>
  <c r="L791" i="7"/>
  <c r="L788" i="7" s="1"/>
  <c r="P790" i="7"/>
  <c r="O790" i="7"/>
  <c r="N789" i="7"/>
  <c r="M789" i="7"/>
  <c r="P789" i="7" s="1"/>
  <c r="P788" i="7"/>
  <c r="N788" i="7"/>
  <c r="M788" i="7"/>
  <c r="O787" i="7"/>
  <c r="N787" i="7"/>
  <c r="N786" i="7" s="1"/>
  <c r="M787" i="7"/>
  <c r="P787" i="7" s="1"/>
  <c r="L787" i="7"/>
  <c r="J785" i="7"/>
  <c r="I785" i="7"/>
  <c r="P782" i="7"/>
  <c r="O782" i="7"/>
  <c r="P781" i="7"/>
  <c r="O781" i="7"/>
  <c r="P780" i="7"/>
  <c r="N780" i="7"/>
  <c r="M780" i="7"/>
  <c r="L780" i="7"/>
  <c r="O780" i="7" s="1"/>
  <c r="P775" i="7"/>
  <c r="O775" i="7"/>
  <c r="N775" i="7"/>
  <c r="N772" i="7" s="1"/>
  <c r="P774" i="7"/>
  <c r="O774" i="7"/>
  <c r="P773" i="7"/>
  <c r="N773" i="7"/>
  <c r="M773" i="7"/>
  <c r="L773" i="7"/>
  <c r="O773" i="7" s="1"/>
  <c r="O772" i="7"/>
  <c r="M772" i="7"/>
  <c r="L772" i="7"/>
  <c r="P771" i="7"/>
  <c r="N771" i="7"/>
  <c r="N770" i="7" s="1"/>
  <c r="M771" i="7"/>
  <c r="L771" i="7"/>
  <c r="K769" i="7"/>
  <c r="J769" i="7"/>
  <c r="P766" i="7"/>
  <c r="O766" i="7"/>
  <c r="P765" i="7"/>
  <c r="O765" i="7"/>
  <c r="P764" i="7"/>
  <c r="N764" i="7"/>
  <c r="M764" i="7"/>
  <c r="L764" i="7"/>
  <c r="O764" i="7" s="1"/>
  <c r="P759" i="7"/>
  <c r="O759" i="7"/>
  <c r="N759" i="7"/>
  <c r="N756" i="7" s="1"/>
  <c r="P758" i="7"/>
  <c r="O758" i="7"/>
  <c r="P757" i="7"/>
  <c r="N757" i="7"/>
  <c r="M757" i="7"/>
  <c r="L757" i="7"/>
  <c r="O757" i="7" s="1"/>
  <c r="O756" i="7"/>
  <c r="M756" i="7"/>
  <c r="L756" i="7"/>
  <c r="P755" i="7"/>
  <c r="N755" i="7"/>
  <c r="N754" i="7" s="1"/>
  <c r="M755" i="7"/>
  <c r="L755" i="7"/>
  <c r="K753" i="7"/>
  <c r="J753" i="7"/>
  <c r="P749" i="7"/>
  <c r="O749" i="7"/>
  <c r="P748" i="7"/>
  <c r="O748" i="7"/>
  <c r="P747" i="7"/>
  <c r="N747" i="7"/>
  <c r="M747" i="7"/>
  <c r="L747" i="7"/>
  <c r="O747" i="7" s="1"/>
  <c r="P742" i="7"/>
  <c r="O742" i="7"/>
  <c r="N742" i="7"/>
  <c r="N739" i="7" s="1"/>
  <c r="P741" i="7"/>
  <c r="O741" i="7"/>
  <c r="P740" i="7"/>
  <c r="N740" i="7"/>
  <c r="M740" i="7"/>
  <c r="L740" i="7"/>
  <c r="O740" i="7" s="1"/>
  <c r="O739" i="7"/>
  <c r="M739" i="7"/>
  <c r="L739" i="7"/>
  <c r="P738" i="7"/>
  <c r="N738" i="7"/>
  <c r="M738" i="7"/>
  <c r="L738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N695" i="7"/>
  <c r="M695" i="7"/>
  <c r="L695" i="7"/>
  <c r="O695" i="7" s="1"/>
  <c r="P690" i="7"/>
  <c r="N690" i="7"/>
  <c r="N688" i="7" s="1"/>
  <c r="L690" i="7"/>
  <c r="O690" i="7" s="1"/>
  <c r="M688" i="7"/>
  <c r="P688" i="7" s="1"/>
  <c r="P687" i="7"/>
  <c r="N687" i="7"/>
  <c r="N685" i="7" s="1"/>
  <c r="M687" i="7"/>
  <c r="O686" i="7"/>
  <c r="N686" i="7"/>
  <c r="M686" i="7"/>
  <c r="P686" i="7" s="1"/>
  <c r="L686" i="7"/>
  <c r="J679" i="7"/>
  <c r="J678" i="7"/>
  <c r="I678" i="7"/>
  <c r="K678" i="7" s="1"/>
  <c r="J675" i="7"/>
  <c r="J669" i="7" s="1"/>
  <c r="J654" i="7" s="1"/>
  <c r="I671" i="7"/>
  <c r="K671" i="7" s="1"/>
  <c r="I670" i="7"/>
  <c r="K670" i="7" s="1"/>
  <c r="I669" i="7"/>
  <c r="K675" i="7" s="1"/>
  <c r="P667" i="7"/>
  <c r="O667" i="7"/>
  <c r="P666" i="7"/>
  <c r="O666" i="7"/>
  <c r="O665" i="7"/>
  <c r="N665" i="7"/>
  <c r="M665" i="7"/>
  <c r="P665" i="7" s="1"/>
  <c r="L665" i="7"/>
  <c r="P660" i="7"/>
  <c r="N660" i="7"/>
  <c r="L660" i="7"/>
  <c r="L657" i="7" s="1"/>
  <c r="P659" i="7"/>
  <c r="O659" i="7"/>
  <c r="P658" i="7"/>
  <c r="N658" i="7"/>
  <c r="M658" i="7"/>
  <c r="N657" i="7"/>
  <c r="M657" i="7"/>
  <c r="P657" i="7" s="1"/>
  <c r="P656" i="7"/>
  <c r="N656" i="7"/>
  <c r="N655" i="7" s="1"/>
  <c r="M656" i="7"/>
  <c r="L656" i="7"/>
  <c r="O656" i="7" s="1"/>
  <c r="M655" i="7"/>
  <c r="P655" i="7" s="1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P640" i="7"/>
  <c r="O640" i="7"/>
  <c r="N639" i="7"/>
  <c r="M639" i="7"/>
  <c r="P639" i="7" s="1"/>
  <c r="P634" i="7"/>
  <c r="N634" i="7"/>
  <c r="L634" i="7"/>
  <c r="P633" i="7"/>
  <c r="O633" i="7"/>
  <c r="P632" i="7"/>
  <c r="N632" i="7"/>
  <c r="M632" i="7"/>
  <c r="L632" i="7"/>
  <c r="O632" i="7" s="1"/>
  <c r="M631" i="7"/>
  <c r="P631" i="7" s="1"/>
  <c r="P630" i="7"/>
  <c r="N630" i="7"/>
  <c r="M630" i="7"/>
  <c r="L630" i="7"/>
  <c r="O630" i="7" s="1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2" i="7" s="1"/>
  <c r="J594" i="7"/>
  <c r="I594" i="7"/>
  <c r="I593" i="7"/>
  <c r="I592" i="7" s="1"/>
  <c r="J583" i="7"/>
  <c r="J577" i="7" s="1"/>
  <c r="J582" i="7"/>
  <c r="I577" i="7"/>
  <c r="K577" i="7" s="1"/>
  <c r="J576" i="7"/>
  <c r="J559" i="7" s="1"/>
  <c r="J543" i="7" s="1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N545" i="7" s="1"/>
  <c r="N544" i="7" s="1"/>
  <c r="M555" i="7"/>
  <c r="P549" i="7"/>
  <c r="N549" i="7"/>
  <c r="L549" i="7"/>
  <c r="L547" i="7" s="1"/>
  <c r="O547" i="7" s="1"/>
  <c r="P548" i="7"/>
  <c r="O548" i="7"/>
  <c r="N547" i="7"/>
  <c r="M547" i="7"/>
  <c r="P547" i="7" s="1"/>
  <c r="P546" i="7"/>
  <c r="N546" i="7"/>
  <c r="M546" i="7"/>
  <c r="O545" i="7"/>
  <c r="M545" i="7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K537" i="7" s="1"/>
  <c r="P535" i="7"/>
  <c r="L535" i="7"/>
  <c r="P534" i="7"/>
  <c r="O534" i="7"/>
  <c r="P533" i="7"/>
  <c r="N533" i="7"/>
  <c r="M533" i="7"/>
  <c r="P528" i="7"/>
  <c r="N528" i="7"/>
  <c r="L528" i="7"/>
  <c r="P527" i="7"/>
  <c r="O527" i="7"/>
  <c r="N526" i="7"/>
  <c r="M526" i="7"/>
  <c r="P526" i="7" s="1"/>
  <c r="P525" i="7"/>
  <c r="N525" i="7"/>
  <c r="N523" i="7" s="1"/>
  <c r="M525" i="7"/>
  <c r="O524" i="7"/>
  <c r="N524" i="7"/>
  <c r="M524" i="7"/>
  <c r="P524" i="7" s="1"/>
  <c r="L524" i="7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N504" i="7" s="1"/>
  <c r="P506" i="7"/>
  <c r="O506" i="7"/>
  <c r="O505" i="7"/>
  <c r="M505" i="7"/>
  <c r="P505" i="7" s="1"/>
  <c r="L505" i="7"/>
  <c r="P504" i="7"/>
  <c r="M504" i="7"/>
  <c r="L504" i="7"/>
  <c r="O504" i="7" s="1"/>
  <c r="O503" i="7"/>
  <c r="N503" i="7"/>
  <c r="M503" i="7"/>
  <c r="P503" i="7" s="1"/>
  <c r="L503" i="7"/>
  <c r="P502" i="7"/>
  <c r="N502" i="7"/>
  <c r="M502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P472" i="7"/>
  <c r="N472" i="7"/>
  <c r="N469" i="7" s="1"/>
  <c r="N467" i="7" s="1"/>
  <c r="L472" i="7"/>
  <c r="O472" i="7" s="1"/>
  <c r="P471" i="7"/>
  <c r="O471" i="7"/>
  <c r="N470" i="7"/>
  <c r="M470" i="7"/>
  <c r="P470" i="7" s="1"/>
  <c r="P469" i="7"/>
  <c r="M469" i="7"/>
  <c r="O468" i="7"/>
  <c r="N468" i="7"/>
  <c r="M468" i="7"/>
  <c r="P468" i="7" s="1"/>
  <c r="L468" i="7"/>
  <c r="P467" i="7"/>
  <c r="M467" i="7"/>
  <c r="J466" i="7"/>
  <c r="I466" i="7"/>
  <c r="J465" i="7"/>
  <c r="I465" i="7"/>
  <c r="K465" i="7" s="1"/>
  <c r="I464" i="7"/>
  <c r="I463" i="7"/>
  <c r="I462" i="7"/>
  <c r="K462" i="7" s="1"/>
  <c r="I460" i="7"/>
  <c r="I442" i="7" s="1"/>
  <c r="K442" i="7" s="1"/>
  <c r="K458" i="7"/>
  <c r="P456" i="7"/>
  <c r="L456" i="7"/>
  <c r="P455" i="7"/>
  <c r="O455" i="7"/>
  <c r="N454" i="7"/>
  <c r="M454" i="7"/>
  <c r="P454" i="7" s="1"/>
  <c r="P449" i="7"/>
  <c r="N449" i="7"/>
  <c r="L449" i="7"/>
  <c r="L447" i="7" s="1"/>
  <c r="O447" i="7" s="1"/>
  <c r="P448" i="7"/>
  <c r="O448" i="7"/>
  <c r="P447" i="7"/>
  <c r="N447" i="7"/>
  <c r="M447" i="7"/>
  <c r="M446" i="7"/>
  <c r="P446" i="7" s="1"/>
  <c r="P445" i="7"/>
  <c r="N445" i="7"/>
  <c r="M445" i="7"/>
  <c r="M444" i="7" s="1"/>
  <c r="P444" i="7" s="1"/>
  <c r="L445" i="7"/>
  <c r="O445" i="7" s="1"/>
  <c r="J443" i="7"/>
  <c r="J442" i="7"/>
  <c r="I441" i="7"/>
  <c r="K441" i="7" s="1"/>
  <c r="I440" i="7"/>
  <c r="I439" i="7"/>
  <c r="K439" i="7" s="1"/>
  <c r="I438" i="7"/>
  <c r="K438" i="7" s="1"/>
  <c r="I437" i="7"/>
  <c r="K437" i="7" s="1"/>
  <c r="I435" i="7"/>
  <c r="J434" i="7"/>
  <c r="P431" i="7"/>
  <c r="L431" i="7"/>
  <c r="P430" i="7"/>
  <c r="O430" i="7"/>
  <c r="N429" i="7"/>
  <c r="M429" i="7"/>
  <c r="P429" i="7" s="1"/>
  <c r="P424" i="7"/>
  <c r="N424" i="7"/>
  <c r="L424" i="7"/>
  <c r="L422" i="7" s="1"/>
  <c r="O422" i="7" s="1"/>
  <c r="P423" i="7"/>
  <c r="O423" i="7"/>
  <c r="P422" i="7"/>
  <c r="N422" i="7"/>
  <c r="M422" i="7"/>
  <c r="M421" i="7"/>
  <c r="P421" i="7" s="1"/>
  <c r="P420" i="7"/>
  <c r="N420" i="7"/>
  <c r="M420" i="7"/>
  <c r="M419" i="7" s="1"/>
  <c r="L420" i="7"/>
  <c r="O420" i="7" s="1"/>
  <c r="J418" i="7"/>
  <c r="K413" i="7"/>
  <c r="K412" i="7"/>
  <c r="N410" i="7"/>
  <c r="N408" i="7" s="1"/>
  <c r="M410" i="7"/>
  <c r="P410" i="7" s="1"/>
  <c r="L410" i="7"/>
  <c r="O410" i="7" s="1"/>
  <c r="P409" i="7"/>
  <c r="O409" i="7"/>
  <c r="N407" i="7"/>
  <c r="M407" i="7"/>
  <c r="M405" i="7" s="1"/>
  <c r="P405" i="7" s="1"/>
  <c r="L407" i="7"/>
  <c r="L405" i="7" s="1"/>
  <c r="O405" i="7" s="1"/>
  <c r="P406" i="7"/>
  <c r="O406" i="7"/>
  <c r="P403" i="7"/>
  <c r="N403" i="7"/>
  <c r="M403" i="7"/>
  <c r="L403" i="7"/>
  <c r="O403" i="7" s="1"/>
  <c r="J401" i="7"/>
  <c r="I401" i="7"/>
  <c r="K401" i="7" s="1"/>
  <c r="K400" i="7"/>
  <c r="K399" i="7"/>
  <c r="N397" i="7"/>
  <c r="N395" i="7" s="1"/>
  <c r="M397" i="7"/>
  <c r="P397" i="7" s="1"/>
  <c r="L397" i="7"/>
  <c r="P396" i="7"/>
  <c r="O396" i="7"/>
  <c r="N394" i="7"/>
  <c r="M394" i="7"/>
  <c r="L394" i="7"/>
  <c r="L392" i="7" s="1"/>
  <c r="O392" i="7" s="1"/>
  <c r="P393" i="7"/>
  <c r="O393" i="7"/>
  <c r="P390" i="7"/>
  <c r="N390" i="7"/>
  <c r="M390" i="7"/>
  <c r="L390" i="7"/>
  <c r="O390" i="7" s="1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L351" i="7" s="1"/>
  <c r="P352" i="7"/>
  <c r="O352" i="7"/>
  <c r="N350" i="7"/>
  <c r="M350" i="7"/>
  <c r="L350" i="7"/>
  <c r="L348" i="7" s="1"/>
  <c r="P349" i="7"/>
  <c r="O349" i="7"/>
  <c r="P346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L334" i="7" s="1"/>
  <c r="O334" i="7" s="1"/>
  <c r="P335" i="7"/>
  <c r="O335" i="7"/>
  <c r="N333" i="7"/>
  <c r="M333" i="7"/>
  <c r="L333" i="7"/>
  <c r="L331" i="7" s="1"/>
  <c r="P332" i="7"/>
  <c r="O332" i="7"/>
  <c r="P329" i="7"/>
  <c r="N329" i="7"/>
  <c r="M329" i="7"/>
  <c r="L329" i="7"/>
  <c r="O329" i="7" s="1"/>
  <c r="I327" i="7"/>
  <c r="I325" i="7"/>
  <c r="N323" i="7"/>
  <c r="N321" i="7" s="1"/>
  <c r="M323" i="7"/>
  <c r="L323" i="7"/>
  <c r="L321" i="7" s="1"/>
  <c r="O321" i="7" s="1"/>
  <c r="P322" i="7"/>
  <c r="O322" i="7"/>
  <c r="N320" i="7"/>
  <c r="N318" i="7" s="1"/>
  <c r="M320" i="7"/>
  <c r="L320" i="7"/>
  <c r="P319" i="7"/>
  <c r="O319" i="7"/>
  <c r="P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N306" i="7"/>
  <c r="N304" i="7" s="1"/>
  <c r="M306" i="7"/>
  <c r="M304" i="7" s="1"/>
  <c r="P304" i="7" s="1"/>
  <c r="L306" i="7"/>
  <c r="P305" i="7"/>
  <c r="O305" i="7"/>
  <c r="N303" i="7"/>
  <c r="N301" i="7" s="1"/>
  <c r="M303" i="7"/>
  <c r="L303" i="7"/>
  <c r="L301" i="7" s="1"/>
  <c r="O301" i="7" s="1"/>
  <c r="P302" i="7"/>
  <c r="O302" i="7"/>
  <c r="P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J288" i="7" s="1"/>
  <c r="I287" i="7"/>
  <c r="K287" i="7" s="1"/>
  <c r="N285" i="7"/>
  <c r="N283" i="7" s="1"/>
  <c r="M285" i="7"/>
  <c r="P285" i="7" s="1"/>
  <c r="L285" i="7"/>
  <c r="L283" i="7" s="1"/>
  <c r="O283" i="7" s="1"/>
  <c r="P284" i="7"/>
  <c r="O284" i="7"/>
  <c r="N282" i="7"/>
  <c r="N280" i="7" s="1"/>
  <c r="M282" i="7"/>
  <c r="M280" i="7" s="1"/>
  <c r="L282" i="7"/>
  <c r="L280" i="7" s="1"/>
  <c r="P281" i="7"/>
  <c r="O281" i="7"/>
  <c r="P278" i="7"/>
  <c r="O278" i="7"/>
  <c r="N278" i="7"/>
  <c r="M278" i="7"/>
  <c r="L278" i="7"/>
  <c r="J276" i="7"/>
  <c r="I271" i="7"/>
  <c r="K271" i="7" s="1"/>
  <c r="N269" i="7"/>
  <c r="N267" i="7" s="1"/>
  <c r="M269" i="7"/>
  <c r="M267" i="7" s="1"/>
  <c r="P267" i="7" s="1"/>
  <c r="L269" i="7"/>
  <c r="P268" i="7"/>
  <c r="O268" i="7"/>
  <c r="N266" i="7"/>
  <c r="N264" i="7" s="1"/>
  <c r="M266" i="7"/>
  <c r="L266" i="7"/>
  <c r="L264" i="7" s="1"/>
  <c r="P265" i="7"/>
  <c r="O265" i="7"/>
  <c r="O262" i="7"/>
  <c r="N262" i="7"/>
  <c r="M262" i="7"/>
  <c r="P262" i="7" s="1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K244" i="7" s="1"/>
  <c r="L242" i="7"/>
  <c r="L241" i="7"/>
  <c r="L240" i="7"/>
  <c r="L239" i="7"/>
  <c r="P238" i="7"/>
  <c r="N238" i="7"/>
  <c r="N227" i="7" s="1"/>
  <c r="J237" i="7"/>
  <c r="J226" i="7" s="1"/>
  <c r="J180" i="7" s="1"/>
  <c r="K236" i="7"/>
  <c r="J236" i="7"/>
  <c r="I236" i="7"/>
  <c r="K235" i="7"/>
  <c r="J235" i="7"/>
  <c r="I235" i="7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M186" i="7"/>
  <c r="L186" i="7"/>
  <c r="P185" i="7"/>
  <c r="O185" i="7"/>
  <c r="N182" i="7"/>
  <c r="M182" i="7"/>
  <c r="L182" i="7"/>
  <c r="O182" i="7" s="1"/>
  <c r="K180" i="7"/>
  <c r="J177" i="7"/>
  <c r="I176" i="7"/>
  <c r="I174" i="7" s="1"/>
  <c r="J174" i="7"/>
  <c r="N173" i="7"/>
  <c r="M173" i="7"/>
  <c r="L173" i="7"/>
  <c r="O173" i="7" s="1"/>
  <c r="P172" i="7"/>
  <c r="O172" i="7"/>
  <c r="N170" i="7"/>
  <c r="N168" i="7" s="1"/>
  <c r="M170" i="7"/>
  <c r="L170" i="7"/>
  <c r="P169" i="7"/>
  <c r="O169" i="7"/>
  <c r="N166" i="7"/>
  <c r="M166" i="7"/>
  <c r="P166" i="7" s="1"/>
  <c r="L166" i="7"/>
  <c r="J164" i="7"/>
  <c r="I159" i="7"/>
  <c r="K159" i="7" s="1"/>
  <c r="N157" i="7"/>
  <c r="N155" i="7" s="1"/>
  <c r="M157" i="7"/>
  <c r="P157" i="7" s="1"/>
  <c r="L157" i="7"/>
  <c r="P156" i="7"/>
  <c r="O156" i="7"/>
  <c r="N154" i="7"/>
  <c r="M154" i="7"/>
  <c r="M152" i="7" s="1"/>
  <c r="L154" i="7"/>
  <c r="L152" i="7" s="1"/>
  <c r="P153" i="7"/>
  <c r="O153" i="7"/>
  <c r="N150" i="7"/>
  <c r="M150" i="7"/>
  <c r="P150" i="7" s="1"/>
  <c r="L150" i="7"/>
  <c r="O150" i="7" s="1"/>
  <c r="J148" i="7"/>
  <c r="I146" i="7"/>
  <c r="I130" i="7" s="1"/>
  <c r="K130" i="7" s="1"/>
  <c r="I145" i="7"/>
  <c r="I143" i="7" s="1"/>
  <c r="I144" i="7"/>
  <c r="K144" i="7" s="1"/>
  <c r="N140" i="7"/>
  <c r="N138" i="7" s="1"/>
  <c r="M140" i="7"/>
  <c r="P140" i="7" s="1"/>
  <c r="L140" i="7"/>
  <c r="O140" i="7" s="1"/>
  <c r="P139" i="7"/>
  <c r="O139" i="7"/>
  <c r="N137" i="7"/>
  <c r="N135" i="7" s="1"/>
  <c r="M137" i="7"/>
  <c r="P137" i="7" s="1"/>
  <c r="L137" i="7"/>
  <c r="P136" i="7"/>
  <c r="O136" i="7"/>
  <c r="P133" i="7"/>
  <c r="N133" i="7"/>
  <c r="M133" i="7"/>
  <c r="L133" i="7"/>
  <c r="O133" i="7" s="1"/>
  <c r="J130" i="7"/>
  <c r="N127" i="7"/>
  <c r="N125" i="7" s="1"/>
  <c r="M127" i="7"/>
  <c r="P127" i="7" s="1"/>
  <c r="L127" i="7"/>
  <c r="L125" i="7" s="1"/>
  <c r="O125" i="7" s="1"/>
  <c r="P126" i="7"/>
  <c r="O126" i="7"/>
  <c r="N124" i="7"/>
  <c r="N122" i="7" s="1"/>
  <c r="M124" i="7"/>
  <c r="M122" i="7" s="1"/>
  <c r="P122" i="7" s="1"/>
  <c r="L124" i="7"/>
  <c r="P123" i="7"/>
  <c r="O123" i="7"/>
  <c r="N120" i="7"/>
  <c r="M120" i="7"/>
  <c r="P120" i="7" s="1"/>
  <c r="L120" i="7"/>
  <c r="O120" i="7" s="1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I99" i="7"/>
  <c r="I87" i="7" s="1"/>
  <c r="J98" i="7"/>
  <c r="J86" i="7" s="1"/>
  <c r="I98" i="7"/>
  <c r="K98" i="7" s="1"/>
  <c r="N96" i="7"/>
  <c r="N94" i="7" s="1"/>
  <c r="M96" i="7"/>
  <c r="L96" i="7"/>
  <c r="O96" i="7" s="1"/>
  <c r="P95" i="7"/>
  <c r="O95" i="7"/>
  <c r="N93" i="7"/>
  <c r="N91" i="7" s="1"/>
  <c r="M93" i="7"/>
  <c r="L93" i="7"/>
  <c r="P92" i="7"/>
  <c r="O92" i="7"/>
  <c r="N89" i="7"/>
  <c r="M89" i="7"/>
  <c r="P89" i="7" s="1"/>
  <c r="L89" i="7"/>
  <c r="J87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J77" i="7"/>
  <c r="J76" i="7"/>
  <c r="J64" i="7" s="1"/>
  <c r="N74" i="7"/>
  <c r="N72" i="7" s="1"/>
  <c r="M74" i="7"/>
  <c r="P74" i="7" s="1"/>
  <c r="L74" i="7"/>
  <c r="O74" i="7" s="1"/>
  <c r="P73" i="7"/>
  <c r="O73" i="7"/>
  <c r="N71" i="7"/>
  <c r="N69" i="7" s="1"/>
  <c r="M71" i="7"/>
  <c r="P71" i="7" s="1"/>
  <c r="L71" i="7"/>
  <c r="O71" i="7" s="1"/>
  <c r="P70" i="7"/>
  <c r="O70" i="7"/>
  <c r="P67" i="7"/>
  <c r="N67" i="7"/>
  <c r="M67" i="7"/>
  <c r="L67" i="7"/>
  <c r="O67" i="7" s="1"/>
  <c r="J65" i="7"/>
  <c r="N61" i="7"/>
  <c r="M61" i="7"/>
  <c r="M59" i="7" s="1"/>
  <c r="L61" i="7"/>
  <c r="L59" i="7" s="1"/>
  <c r="P60" i="7"/>
  <c r="O60" i="7"/>
  <c r="N58" i="7"/>
  <c r="M58" i="7"/>
  <c r="M56" i="7" s="1"/>
  <c r="L58" i="7"/>
  <c r="L56" i="7" s="1"/>
  <c r="P57" i="7"/>
  <c r="O57" i="7"/>
  <c r="O54" i="7"/>
  <c r="N54" i="7"/>
  <c r="M54" i="7"/>
  <c r="P54" i="7" s="1"/>
  <c r="L54" i="7"/>
  <c r="N49" i="7"/>
  <c r="N47" i="7" s="1"/>
  <c r="M49" i="7"/>
  <c r="L49" i="7"/>
  <c r="L47" i="7" s="1"/>
  <c r="O47" i="7" s="1"/>
  <c r="P48" i="7"/>
  <c r="O48" i="7"/>
  <c r="N46" i="7"/>
  <c r="N44" i="7" s="1"/>
  <c r="M46" i="7"/>
  <c r="M44" i="7" s="1"/>
  <c r="L46" i="7"/>
  <c r="L44" i="7" s="1"/>
  <c r="P45" i="7"/>
  <c r="O45" i="7"/>
  <c r="P42" i="7"/>
  <c r="N42" i="7"/>
  <c r="M42" i="7"/>
  <c r="L42" i="7"/>
  <c r="O42" i="7" s="1"/>
  <c r="N36" i="7"/>
  <c r="N34" i="7" s="1"/>
  <c r="M36" i="7"/>
  <c r="P36" i="7" s="1"/>
  <c r="N35" i="7"/>
  <c r="M35" i="7"/>
  <c r="L35" i="7"/>
  <c r="O35" i="7" s="1"/>
  <c r="P33" i="7"/>
  <c r="N33" i="7"/>
  <c r="M33" i="7"/>
  <c r="P32" i="7"/>
  <c r="O32" i="7"/>
  <c r="N32" i="7"/>
  <c r="M32" i="7"/>
  <c r="M31" i="7" s="1"/>
  <c r="P31" i="7" s="1"/>
  <c r="L32" i="7"/>
  <c r="N31" i="7"/>
  <c r="M30" i="7"/>
  <c r="P30" i="7" s="1"/>
  <c r="N29" i="7"/>
  <c r="M29" i="7"/>
  <c r="L29" i="7"/>
  <c r="O29" i="7" s="1"/>
  <c r="P25" i="7"/>
  <c r="O25" i="7"/>
  <c r="N25" i="7"/>
  <c r="M25" i="7"/>
  <c r="L25" i="7"/>
  <c r="N22" i="7"/>
  <c r="M22" i="7"/>
  <c r="L22" i="7"/>
  <c r="N19" i="7"/>
  <c r="N15" i="7"/>
  <c r="L15" i="7"/>
  <c r="O15" i="7" s="1"/>
  <c r="N12" i="7"/>
  <c r="M12" i="7"/>
  <c r="N9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P817" i="6"/>
  <c r="O817" i="6"/>
  <c r="P816" i="6"/>
  <c r="O816" i="6"/>
  <c r="O815" i="6"/>
  <c r="N815" i="6"/>
  <c r="M815" i="6"/>
  <c r="P815" i="6" s="1"/>
  <c r="L815" i="6"/>
  <c r="P810" i="6"/>
  <c r="O810" i="6"/>
  <c r="N810" i="6"/>
  <c r="P809" i="6"/>
  <c r="O809" i="6"/>
  <c r="O808" i="6"/>
  <c r="M808" i="6"/>
  <c r="P808" i="6" s="1"/>
  <c r="L808" i="6"/>
  <c r="P807" i="6"/>
  <c r="M807" i="6"/>
  <c r="L807" i="6"/>
  <c r="O806" i="6"/>
  <c r="N806" i="6"/>
  <c r="M806" i="6"/>
  <c r="P806" i="6" s="1"/>
  <c r="L806" i="6"/>
  <c r="P805" i="6"/>
  <c r="M805" i="6"/>
  <c r="K804" i="6"/>
  <c r="J804" i="6"/>
  <c r="K802" i="6"/>
  <c r="J801" i="6"/>
  <c r="J800" i="6"/>
  <c r="I800" i="6"/>
  <c r="P798" i="6"/>
  <c r="O798" i="6"/>
  <c r="P797" i="6"/>
  <c r="O797" i="6"/>
  <c r="P796" i="6"/>
  <c r="N796" i="6"/>
  <c r="M796" i="6"/>
  <c r="L796" i="6"/>
  <c r="O796" i="6" s="1"/>
  <c r="P791" i="6"/>
  <c r="N791" i="6"/>
  <c r="L791" i="6"/>
  <c r="L788" i="6" s="1"/>
  <c r="P790" i="6"/>
  <c r="O790" i="6"/>
  <c r="N789" i="6"/>
  <c r="M789" i="6"/>
  <c r="P789" i="6" s="1"/>
  <c r="P788" i="6"/>
  <c r="N788" i="6"/>
  <c r="M788" i="6"/>
  <c r="O787" i="6"/>
  <c r="N787" i="6"/>
  <c r="N786" i="6" s="1"/>
  <c r="M787" i="6"/>
  <c r="P787" i="6" s="1"/>
  <c r="L787" i="6"/>
  <c r="J785" i="6"/>
  <c r="I785" i="6"/>
  <c r="P782" i="6"/>
  <c r="O782" i="6"/>
  <c r="P781" i="6"/>
  <c r="O781" i="6"/>
  <c r="P780" i="6"/>
  <c r="N780" i="6"/>
  <c r="M780" i="6"/>
  <c r="L780" i="6"/>
  <c r="O780" i="6" s="1"/>
  <c r="P775" i="6"/>
  <c r="O775" i="6"/>
  <c r="N775" i="6"/>
  <c r="N772" i="6" s="1"/>
  <c r="P774" i="6"/>
  <c r="O774" i="6"/>
  <c r="P773" i="6"/>
  <c r="N773" i="6"/>
  <c r="M773" i="6"/>
  <c r="L773" i="6"/>
  <c r="O773" i="6" s="1"/>
  <c r="O772" i="6"/>
  <c r="M772" i="6"/>
  <c r="L772" i="6"/>
  <c r="P771" i="6"/>
  <c r="N771" i="6"/>
  <c r="M771" i="6"/>
  <c r="L771" i="6"/>
  <c r="K769" i="6"/>
  <c r="J769" i="6"/>
  <c r="P766" i="6"/>
  <c r="O766" i="6"/>
  <c r="P765" i="6"/>
  <c r="O765" i="6"/>
  <c r="P764" i="6"/>
  <c r="N764" i="6"/>
  <c r="M764" i="6"/>
  <c r="L764" i="6"/>
  <c r="O764" i="6" s="1"/>
  <c r="P759" i="6"/>
  <c r="O759" i="6"/>
  <c r="N759" i="6"/>
  <c r="N756" i="6" s="1"/>
  <c r="P758" i="6"/>
  <c r="O758" i="6"/>
  <c r="P757" i="6"/>
  <c r="N757" i="6"/>
  <c r="M757" i="6"/>
  <c r="L757" i="6"/>
  <c r="O757" i="6" s="1"/>
  <c r="O756" i="6"/>
  <c r="M756" i="6"/>
  <c r="L756" i="6"/>
  <c r="P755" i="6"/>
  <c r="N755" i="6"/>
  <c r="M755" i="6"/>
  <c r="L755" i="6"/>
  <c r="K753" i="6"/>
  <c r="J753" i="6"/>
  <c r="P749" i="6"/>
  <c r="O749" i="6"/>
  <c r="P748" i="6"/>
  <c r="O748" i="6"/>
  <c r="P747" i="6"/>
  <c r="N747" i="6"/>
  <c r="M747" i="6"/>
  <c r="L747" i="6"/>
  <c r="O747" i="6" s="1"/>
  <c r="P742" i="6"/>
  <c r="O742" i="6"/>
  <c r="N742" i="6"/>
  <c r="N739" i="6" s="1"/>
  <c r="P741" i="6"/>
  <c r="O741" i="6"/>
  <c r="P740" i="6"/>
  <c r="N740" i="6"/>
  <c r="M740" i="6"/>
  <c r="L740" i="6"/>
  <c r="O740" i="6" s="1"/>
  <c r="O739" i="6"/>
  <c r="M739" i="6"/>
  <c r="L739" i="6"/>
  <c r="P738" i="6"/>
  <c r="N738" i="6"/>
  <c r="M738" i="6"/>
  <c r="L738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P695" i="6"/>
  <c r="N695" i="6"/>
  <c r="M695" i="6"/>
  <c r="L695" i="6"/>
  <c r="O695" i="6" s="1"/>
  <c r="P690" i="6"/>
  <c r="N690" i="6"/>
  <c r="N688" i="6" s="1"/>
  <c r="L690" i="6"/>
  <c r="L688" i="6" s="1"/>
  <c r="O688" i="6" s="1"/>
  <c r="M688" i="6"/>
  <c r="P688" i="6" s="1"/>
  <c r="P687" i="6"/>
  <c r="N687" i="6"/>
  <c r="M687" i="6"/>
  <c r="O686" i="6"/>
  <c r="N686" i="6"/>
  <c r="N685" i="6" s="1"/>
  <c r="M686" i="6"/>
  <c r="P686" i="6" s="1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72" i="6" s="1"/>
  <c r="P667" i="6"/>
  <c r="O667" i="6"/>
  <c r="P666" i="6"/>
  <c r="O666" i="6"/>
  <c r="O665" i="6"/>
  <c r="N665" i="6"/>
  <c r="M665" i="6"/>
  <c r="P665" i="6" s="1"/>
  <c r="L665" i="6"/>
  <c r="P660" i="6"/>
  <c r="N660" i="6"/>
  <c r="N657" i="6" s="1"/>
  <c r="L660" i="6"/>
  <c r="L658" i="6" s="1"/>
  <c r="O658" i="6" s="1"/>
  <c r="P659" i="6"/>
  <c r="O659" i="6"/>
  <c r="P658" i="6"/>
  <c r="N658" i="6"/>
  <c r="M658" i="6"/>
  <c r="M657" i="6"/>
  <c r="P657" i="6" s="1"/>
  <c r="P656" i="6"/>
  <c r="N656" i="6"/>
  <c r="N655" i="6" s="1"/>
  <c r="M656" i="6"/>
  <c r="L656" i="6"/>
  <c r="M655" i="6"/>
  <c r="P655" i="6" s="1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P634" i="6"/>
  <c r="N634" i="6"/>
  <c r="L634" i="6"/>
  <c r="L632" i="6" s="1"/>
  <c r="O632" i="6" s="1"/>
  <c r="P633" i="6"/>
  <c r="O633" i="6"/>
  <c r="P632" i="6"/>
  <c r="N632" i="6"/>
  <c r="M632" i="6"/>
  <c r="M631" i="6"/>
  <c r="P631" i="6" s="1"/>
  <c r="P630" i="6"/>
  <c r="N630" i="6"/>
  <c r="M630" i="6"/>
  <c r="M629" i="6" s="1"/>
  <c r="P629" i="6" s="1"/>
  <c r="L630" i="6"/>
  <c r="O630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I593" i="6"/>
  <c r="I592" i="6" s="1"/>
  <c r="J583" i="6"/>
  <c r="J577" i="6" s="1"/>
  <c r="J582" i="6"/>
  <c r="J576" i="6" s="1"/>
  <c r="J559" i="6" s="1"/>
  <c r="J543" i="6" s="1"/>
  <c r="I577" i="6"/>
  <c r="K577" i="6" s="1"/>
  <c r="I576" i="6"/>
  <c r="I559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P555" i="6"/>
  <c r="N555" i="6"/>
  <c r="N545" i="6" s="1"/>
  <c r="M555" i="6"/>
  <c r="P549" i="6"/>
  <c r="N549" i="6"/>
  <c r="L549" i="6"/>
  <c r="O549" i="6" s="1"/>
  <c r="P548" i="6"/>
  <c r="O548" i="6"/>
  <c r="N547" i="6"/>
  <c r="M547" i="6"/>
  <c r="P547" i="6" s="1"/>
  <c r="P546" i="6"/>
  <c r="N546" i="6"/>
  <c r="M546" i="6"/>
  <c r="O545" i="6"/>
  <c r="M545" i="6"/>
  <c r="L545" i="6"/>
  <c r="I542" i="6"/>
  <c r="K542" i="6" s="1"/>
  <c r="I541" i="6"/>
  <c r="K541" i="6" s="1"/>
  <c r="I540" i="6"/>
  <c r="K540" i="6" s="1"/>
  <c r="I539" i="6"/>
  <c r="K539" i="6" s="1"/>
  <c r="I538" i="6"/>
  <c r="I537" i="6"/>
  <c r="I522" i="6" s="1"/>
  <c r="P535" i="6"/>
  <c r="L535" i="6"/>
  <c r="O535" i="6" s="1"/>
  <c r="P534" i="6"/>
  <c r="O534" i="6"/>
  <c r="P533" i="6"/>
  <c r="N533" i="6"/>
  <c r="M533" i="6"/>
  <c r="P528" i="6"/>
  <c r="N528" i="6"/>
  <c r="L528" i="6"/>
  <c r="P527" i="6"/>
  <c r="O527" i="6"/>
  <c r="N526" i="6"/>
  <c r="M526" i="6"/>
  <c r="P526" i="6" s="1"/>
  <c r="P525" i="6"/>
  <c r="N525" i="6"/>
  <c r="M525" i="6"/>
  <c r="O524" i="6"/>
  <c r="N524" i="6"/>
  <c r="N523" i="6" s="1"/>
  <c r="M524" i="6"/>
  <c r="P524" i="6" s="1"/>
  <c r="L524" i="6"/>
  <c r="P523" i="6"/>
  <c r="M523" i="6"/>
  <c r="K517" i="6"/>
  <c r="J517" i="6"/>
  <c r="J501" i="6" s="1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N504" i="6" s="1"/>
  <c r="P506" i="6"/>
  <c r="O506" i="6"/>
  <c r="O505" i="6"/>
  <c r="N505" i="6"/>
  <c r="M505" i="6"/>
  <c r="P505" i="6" s="1"/>
  <c r="L505" i="6"/>
  <c r="P504" i="6"/>
  <c r="M504" i="6"/>
  <c r="L504" i="6"/>
  <c r="O504" i="6" s="1"/>
  <c r="O503" i="6"/>
  <c r="N503" i="6"/>
  <c r="M503" i="6"/>
  <c r="M502" i="6" s="1"/>
  <c r="P502" i="6" s="1"/>
  <c r="L503" i="6"/>
  <c r="L502" i="6" s="1"/>
  <c r="O502" i="6" s="1"/>
  <c r="N502" i="6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L477" i="6" s="1"/>
  <c r="O477" i="6" s="1"/>
  <c r="P478" i="6"/>
  <c r="O478" i="6"/>
  <c r="P477" i="6"/>
  <c r="N477" i="6"/>
  <c r="M477" i="6"/>
  <c r="P472" i="6"/>
  <c r="N472" i="6"/>
  <c r="N469" i="6" s="1"/>
  <c r="N467" i="6" s="1"/>
  <c r="L472" i="6"/>
  <c r="P471" i="6"/>
  <c r="O471" i="6"/>
  <c r="M470" i="6"/>
  <c r="P470" i="6" s="1"/>
  <c r="P469" i="6"/>
  <c r="M469" i="6"/>
  <c r="N468" i="6"/>
  <c r="M468" i="6"/>
  <c r="M467" i="6" s="1"/>
  <c r="P467" i="6" s="1"/>
  <c r="L468" i="6"/>
  <c r="J466" i="6"/>
  <c r="I466" i="6"/>
  <c r="K466" i="6" s="1"/>
  <c r="J465" i="6"/>
  <c r="I465" i="6"/>
  <c r="K465" i="6" s="1"/>
  <c r="I464" i="6"/>
  <c r="I463" i="6"/>
  <c r="I462" i="6"/>
  <c r="K462" i="6" s="1"/>
  <c r="I460" i="6"/>
  <c r="K460" i="6" s="1"/>
  <c r="K458" i="6"/>
  <c r="P456" i="6"/>
  <c r="L456" i="6"/>
  <c r="P455" i="6"/>
  <c r="O455" i="6"/>
  <c r="P454" i="6"/>
  <c r="N454" i="6"/>
  <c r="M454" i="6"/>
  <c r="P449" i="6"/>
  <c r="N449" i="6"/>
  <c r="L449" i="6"/>
  <c r="O449" i="6" s="1"/>
  <c r="P448" i="6"/>
  <c r="O448" i="6"/>
  <c r="P447" i="6"/>
  <c r="N447" i="6"/>
  <c r="M447" i="6"/>
  <c r="N446" i="6"/>
  <c r="M446" i="6"/>
  <c r="P446" i="6" s="1"/>
  <c r="N445" i="6"/>
  <c r="N444" i="6" s="1"/>
  <c r="M445" i="6"/>
  <c r="M444" i="6" s="1"/>
  <c r="P444" i="6" s="1"/>
  <c r="L445" i="6"/>
  <c r="O445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J434" i="6"/>
  <c r="P431" i="6"/>
  <c r="L431" i="6"/>
  <c r="P430" i="6"/>
  <c r="O430" i="6"/>
  <c r="N429" i="6"/>
  <c r="M429" i="6"/>
  <c r="P429" i="6" s="1"/>
  <c r="P424" i="6"/>
  <c r="N424" i="6"/>
  <c r="L424" i="6"/>
  <c r="L422" i="6" s="1"/>
  <c r="O422" i="6" s="1"/>
  <c r="P423" i="6"/>
  <c r="O423" i="6"/>
  <c r="P422" i="6"/>
  <c r="N422" i="6"/>
  <c r="M422" i="6"/>
  <c r="N421" i="6"/>
  <c r="M421" i="6"/>
  <c r="P421" i="6" s="1"/>
  <c r="N420" i="6"/>
  <c r="M420" i="6"/>
  <c r="P420" i="6" s="1"/>
  <c r="L420" i="6"/>
  <c r="O420" i="6" s="1"/>
  <c r="J418" i="6"/>
  <c r="K413" i="6"/>
  <c r="K412" i="6"/>
  <c r="N410" i="6"/>
  <c r="N408" i="6" s="1"/>
  <c r="M410" i="6"/>
  <c r="P410" i="6" s="1"/>
  <c r="L410" i="6"/>
  <c r="O410" i="6" s="1"/>
  <c r="P409" i="6"/>
  <c r="O409" i="6"/>
  <c r="N407" i="6"/>
  <c r="M407" i="6"/>
  <c r="P407" i="6" s="1"/>
  <c r="L407" i="6"/>
  <c r="O407" i="6" s="1"/>
  <c r="P406" i="6"/>
  <c r="O406" i="6"/>
  <c r="P403" i="6"/>
  <c r="N403" i="6"/>
  <c r="M403" i="6"/>
  <c r="L403" i="6"/>
  <c r="K401" i="6"/>
  <c r="J401" i="6"/>
  <c r="I401" i="6"/>
  <c r="K400" i="6"/>
  <c r="K399" i="6"/>
  <c r="N397" i="6"/>
  <c r="N395" i="6" s="1"/>
  <c r="M397" i="6"/>
  <c r="L397" i="6"/>
  <c r="O397" i="6" s="1"/>
  <c r="P396" i="6"/>
  <c r="O396" i="6"/>
  <c r="N394" i="6"/>
  <c r="N392" i="6" s="1"/>
  <c r="M394" i="6"/>
  <c r="L394" i="6"/>
  <c r="O394" i="6" s="1"/>
  <c r="P393" i="6"/>
  <c r="O393" i="6"/>
  <c r="P390" i="6"/>
  <c r="N390" i="6"/>
  <c r="M390" i="6"/>
  <c r="L390" i="6"/>
  <c r="O390" i="6" s="1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L353" i="6"/>
  <c r="P352" i="6"/>
  <c r="O352" i="6"/>
  <c r="N350" i="6"/>
  <c r="M350" i="6"/>
  <c r="L350" i="6"/>
  <c r="L348" i="6" s="1"/>
  <c r="P349" i="6"/>
  <c r="O349" i="6"/>
  <c r="N346" i="6"/>
  <c r="M346" i="6"/>
  <c r="P346" i="6" s="1"/>
  <c r="L346" i="6"/>
  <c r="J343" i="6"/>
  <c r="J342" i="6"/>
  <c r="J341" i="6"/>
  <c r="J340" i="6"/>
  <c r="I340" i="6"/>
  <c r="J338" i="6"/>
  <c r="I338" i="6"/>
  <c r="N336" i="6"/>
  <c r="N334" i="6" s="1"/>
  <c r="M336" i="6"/>
  <c r="L336" i="6"/>
  <c r="O336" i="6" s="1"/>
  <c r="P335" i="6"/>
  <c r="O335" i="6"/>
  <c r="N333" i="6"/>
  <c r="M333" i="6"/>
  <c r="L333" i="6"/>
  <c r="P332" i="6"/>
  <c r="O332" i="6"/>
  <c r="P329" i="6"/>
  <c r="O329" i="6"/>
  <c r="N329" i="6"/>
  <c r="M329" i="6"/>
  <c r="L329" i="6"/>
  <c r="I327" i="6"/>
  <c r="I325" i="6"/>
  <c r="I314" i="6" s="1"/>
  <c r="K314" i="6" s="1"/>
  <c r="N323" i="6"/>
  <c r="N321" i="6" s="1"/>
  <c r="M323" i="6"/>
  <c r="P323" i="6" s="1"/>
  <c r="L323" i="6"/>
  <c r="P322" i="6"/>
  <c r="O322" i="6"/>
  <c r="N320" i="6"/>
  <c r="M320" i="6"/>
  <c r="M318" i="6" s="1"/>
  <c r="L320" i="6"/>
  <c r="P319" i="6"/>
  <c r="O319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L306" i="6"/>
  <c r="L304" i="6" s="1"/>
  <c r="O304" i="6" s="1"/>
  <c r="P305" i="6"/>
  <c r="O305" i="6"/>
  <c r="N303" i="6"/>
  <c r="N301" i="6" s="1"/>
  <c r="M303" i="6"/>
  <c r="L303" i="6"/>
  <c r="L301" i="6" s="1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75" i="6" s="1"/>
  <c r="I287" i="6"/>
  <c r="K287" i="6" s="1"/>
  <c r="N285" i="6"/>
  <c r="N283" i="6" s="1"/>
  <c r="M285" i="6"/>
  <c r="L285" i="6"/>
  <c r="O285" i="6" s="1"/>
  <c r="P284" i="6"/>
  <c r="O284" i="6"/>
  <c r="N282" i="6"/>
  <c r="N280" i="6" s="1"/>
  <c r="M282" i="6"/>
  <c r="M280" i="6" s="1"/>
  <c r="L282" i="6"/>
  <c r="P281" i="6"/>
  <c r="O281" i="6"/>
  <c r="P278" i="6"/>
  <c r="O278" i="6"/>
  <c r="N278" i="6"/>
  <c r="M278" i="6"/>
  <c r="L278" i="6"/>
  <c r="J276" i="6"/>
  <c r="I271" i="6"/>
  <c r="K271" i="6" s="1"/>
  <c r="N269" i="6"/>
  <c r="N267" i="6" s="1"/>
  <c r="M269" i="6"/>
  <c r="M267" i="6" s="1"/>
  <c r="P267" i="6" s="1"/>
  <c r="L269" i="6"/>
  <c r="P268" i="6"/>
  <c r="O268" i="6"/>
  <c r="N266" i="6"/>
  <c r="N264" i="6" s="1"/>
  <c r="M266" i="6"/>
  <c r="M264" i="6" s="1"/>
  <c r="L266" i="6"/>
  <c r="L264" i="6" s="1"/>
  <c r="P265" i="6"/>
  <c r="O265" i="6"/>
  <c r="O262" i="6"/>
  <c r="N262" i="6"/>
  <c r="M262" i="6"/>
  <c r="P262" i="6" s="1"/>
  <c r="L262" i="6"/>
  <c r="J260" i="6"/>
  <c r="K258" i="6"/>
  <c r="K257" i="6"/>
  <c r="I255" i="6"/>
  <c r="I248" i="6" s="1"/>
  <c r="K248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N227" i="6" s="1"/>
  <c r="J237" i="6"/>
  <c r="K236" i="6"/>
  <c r="J236" i="6"/>
  <c r="I236" i="6"/>
  <c r="J235" i="6"/>
  <c r="I235" i="6"/>
  <c r="K235" i="6" s="1"/>
  <c r="J233" i="6"/>
  <c r="N231" i="6"/>
  <c r="N230" i="6"/>
  <c r="N229" i="6"/>
  <c r="N228" i="6"/>
  <c r="J226" i="6"/>
  <c r="J180" i="6" s="1"/>
  <c r="I225" i="6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L187" i="6" s="1"/>
  <c r="O187" i="6" s="1"/>
  <c r="P188" i="6"/>
  <c r="O188" i="6"/>
  <c r="N186" i="6"/>
  <c r="N184" i="6" s="1"/>
  <c r="M186" i="6"/>
  <c r="L186" i="6"/>
  <c r="L184" i="6" s="1"/>
  <c r="P185" i="6"/>
  <c r="O185" i="6"/>
  <c r="N182" i="6"/>
  <c r="M182" i="6"/>
  <c r="P182" i="6" s="1"/>
  <c r="L182" i="6"/>
  <c r="J177" i="6"/>
  <c r="I176" i="6"/>
  <c r="I174" i="6" s="1"/>
  <c r="I164" i="6" s="1"/>
  <c r="J174" i="6"/>
  <c r="J164" i="6" s="1"/>
  <c r="N173" i="6"/>
  <c r="N171" i="6" s="1"/>
  <c r="M173" i="6"/>
  <c r="L173" i="6"/>
  <c r="L171" i="6" s="1"/>
  <c r="O171" i="6" s="1"/>
  <c r="P172" i="6"/>
  <c r="O172" i="6"/>
  <c r="N170" i="6"/>
  <c r="M170" i="6"/>
  <c r="M168" i="6" s="1"/>
  <c r="L170" i="6"/>
  <c r="P169" i="6"/>
  <c r="O169" i="6"/>
  <c r="N166" i="6"/>
  <c r="M166" i="6"/>
  <c r="L166" i="6"/>
  <c r="O166" i="6" s="1"/>
  <c r="I159" i="6"/>
  <c r="N157" i="6"/>
  <c r="M157" i="6"/>
  <c r="P157" i="6" s="1"/>
  <c r="L157" i="6"/>
  <c r="O157" i="6" s="1"/>
  <c r="P156" i="6"/>
  <c r="O156" i="6"/>
  <c r="N154" i="6"/>
  <c r="N152" i="6" s="1"/>
  <c r="M154" i="6"/>
  <c r="M152" i="6" s="1"/>
  <c r="L154" i="6"/>
  <c r="P153" i="6"/>
  <c r="O153" i="6"/>
  <c r="O150" i="6"/>
  <c r="N150" i="6"/>
  <c r="M150" i="6"/>
  <c r="P150" i="6" s="1"/>
  <c r="L150" i="6"/>
  <c r="J148" i="6"/>
  <c r="I146" i="6"/>
  <c r="K146" i="6" s="1"/>
  <c r="I145" i="6"/>
  <c r="I144" i="6"/>
  <c r="K144" i="6" s="1"/>
  <c r="N140" i="6"/>
  <c r="N138" i="6" s="1"/>
  <c r="M140" i="6"/>
  <c r="L140" i="6"/>
  <c r="P139" i="6"/>
  <c r="O139" i="6"/>
  <c r="N137" i="6"/>
  <c r="N135" i="6" s="1"/>
  <c r="M137" i="6"/>
  <c r="L137" i="6"/>
  <c r="P136" i="6"/>
  <c r="O136" i="6"/>
  <c r="N133" i="6"/>
  <c r="M133" i="6"/>
  <c r="L133" i="6"/>
  <c r="J130" i="6"/>
  <c r="N127" i="6"/>
  <c r="N125" i="6" s="1"/>
  <c r="M127" i="6"/>
  <c r="L127" i="6"/>
  <c r="L125" i="6" s="1"/>
  <c r="P126" i="6"/>
  <c r="O126" i="6"/>
  <c r="N124" i="6"/>
  <c r="M124" i="6"/>
  <c r="P124" i="6" s="1"/>
  <c r="L124" i="6"/>
  <c r="O124" i="6" s="1"/>
  <c r="P123" i="6"/>
  <c r="O123" i="6"/>
  <c r="P120" i="6"/>
  <c r="O120" i="6"/>
  <c r="N120" i="6"/>
  <c r="M120" i="6"/>
  <c r="L120" i="6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J87" i="6" s="1"/>
  <c r="I99" i="6"/>
  <c r="J98" i="6"/>
  <c r="I98" i="6"/>
  <c r="K98" i="6" s="1"/>
  <c r="N96" i="6"/>
  <c r="N94" i="6" s="1"/>
  <c r="M96" i="6"/>
  <c r="L96" i="6"/>
  <c r="L94" i="6" s="1"/>
  <c r="O94" i="6" s="1"/>
  <c r="P95" i="6"/>
  <c r="O95" i="6"/>
  <c r="N93" i="6"/>
  <c r="M93" i="6"/>
  <c r="M91" i="6" s="1"/>
  <c r="L93" i="6"/>
  <c r="P92" i="6"/>
  <c r="O92" i="6"/>
  <c r="N89" i="6"/>
  <c r="M89" i="6"/>
  <c r="L89" i="6"/>
  <c r="O89" i="6" s="1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J77" i="6"/>
  <c r="J76" i="6"/>
  <c r="J64" i="6" s="1"/>
  <c r="N74" i="6"/>
  <c r="N72" i="6" s="1"/>
  <c r="M74" i="6"/>
  <c r="P74" i="6" s="1"/>
  <c r="L74" i="6"/>
  <c r="O74" i="6" s="1"/>
  <c r="P73" i="6"/>
  <c r="O73" i="6"/>
  <c r="N71" i="6"/>
  <c r="N69" i="6" s="1"/>
  <c r="M71" i="6"/>
  <c r="M69" i="6" s="1"/>
  <c r="P69" i="6" s="1"/>
  <c r="L71" i="6"/>
  <c r="O71" i="6" s="1"/>
  <c r="P70" i="6"/>
  <c r="O70" i="6"/>
  <c r="P67" i="6"/>
  <c r="N67" i="6"/>
  <c r="M67" i="6"/>
  <c r="L67" i="6"/>
  <c r="J65" i="6"/>
  <c r="N61" i="6"/>
  <c r="N59" i="6" s="1"/>
  <c r="M61" i="6"/>
  <c r="L61" i="6"/>
  <c r="P60" i="6"/>
  <c r="O60" i="6"/>
  <c r="N58" i="6"/>
  <c r="N56" i="6" s="1"/>
  <c r="M58" i="6"/>
  <c r="L58" i="6"/>
  <c r="P57" i="6"/>
  <c r="O57" i="6"/>
  <c r="O54" i="6"/>
  <c r="N54" i="6"/>
  <c r="M54" i="6"/>
  <c r="L54" i="6"/>
  <c r="N49" i="6"/>
  <c r="N47" i="6" s="1"/>
  <c r="M49" i="6"/>
  <c r="P49" i="6" s="1"/>
  <c r="L49" i="6"/>
  <c r="O49" i="6" s="1"/>
  <c r="P48" i="6"/>
  <c r="O48" i="6"/>
  <c r="N46" i="6"/>
  <c r="M46" i="6"/>
  <c r="M44" i="6" s="1"/>
  <c r="L46" i="6"/>
  <c r="L44" i="6" s="1"/>
  <c r="P45" i="6"/>
  <c r="O45" i="6"/>
  <c r="P42" i="6"/>
  <c r="N42" i="6"/>
  <c r="M42" i="6"/>
  <c r="L42" i="6"/>
  <c r="N36" i="6"/>
  <c r="M36" i="6"/>
  <c r="P36" i="6" s="1"/>
  <c r="P35" i="6"/>
  <c r="N35" i="6"/>
  <c r="N34" i="6" s="1"/>
  <c r="M35" i="6"/>
  <c r="L35" i="6"/>
  <c r="M34" i="6"/>
  <c r="P34" i="6" s="1"/>
  <c r="P33" i="6"/>
  <c r="N33" i="6"/>
  <c r="N30" i="6" s="1"/>
  <c r="M33" i="6"/>
  <c r="O32" i="6"/>
  <c r="N32" i="6"/>
  <c r="M32" i="6"/>
  <c r="L32" i="6"/>
  <c r="N31" i="6"/>
  <c r="N29" i="6"/>
  <c r="N28" i="6" s="1"/>
  <c r="L29" i="6"/>
  <c r="O25" i="6"/>
  <c r="N25" i="6"/>
  <c r="M25" i="6"/>
  <c r="L25" i="6"/>
  <c r="P22" i="6"/>
  <c r="N22" i="6"/>
  <c r="M22" i="6"/>
  <c r="L22" i="6"/>
  <c r="N19" i="6"/>
  <c r="N15" i="6"/>
  <c r="L15" i="6"/>
  <c r="N12" i="6"/>
  <c r="M12" i="6"/>
  <c r="N9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P809" i="5"/>
  <c r="O809" i="5"/>
  <c r="O808" i="5"/>
  <c r="N808" i="5"/>
  <c r="M808" i="5"/>
  <c r="P808" i="5" s="1"/>
  <c r="L808" i="5"/>
  <c r="M807" i="5"/>
  <c r="L807" i="5"/>
  <c r="O807" i="5" s="1"/>
  <c r="N806" i="5"/>
  <c r="N805" i="5" s="1"/>
  <c r="M806" i="5"/>
  <c r="P806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N788" i="5" s="1"/>
  <c r="L791" i="5"/>
  <c r="L788" i="5" s="1"/>
  <c r="O788" i="5" s="1"/>
  <c r="P790" i="5"/>
  <c r="O790" i="5"/>
  <c r="M789" i="5"/>
  <c r="P789" i="5" s="1"/>
  <c r="M788" i="5"/>
  <c r="N787" i="5"/>
  <c r="N786" i="5" s="1"/>
  <c r="M787" i="5"/>
  <c r="P787" i="5" s="1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O772" i="5"/>
  <c r="N772" i="5"/>
  <c r="N770" i="5" s="1"/>
  <c r="M772" i="5"/>
  <c r="P772" i="5" s="1"/>
  <c r="L772" i="5"/>
  <c r="N771" i="5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O756" i="5"/>
  <c r="N756" i="5"/>
  <c r="N754" i="5" s="1"/>
  <c r="M756" i="5"/>
  <c r="P756" i="5" s="1"/>
  <c r="L756" i="5"/>
  <c r="N755" i="5"/>
  <c r="M755" i="5"/>
  <c r="L755" i="5"/>
  <c r="O755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O739" i="5"/>
  <c r="N739" i="5"/>
  <c r="N737" i="5" s="1"/>
  <c r="M739" i="5"/>
  <c r="P739" i="5" s="1"/>
  <c r="L739" i="5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P695" i="5"/>
  <c r="N695" i="5"/>
  <c r="M695" i="5"/>
  <c r="L695" i="5"/>
  <c r="O695" i="5" s="1"/>
  <c r="P690" i="5"/>
  <c r="N690" i="5"/>
  <c r="L690" i="5"/>
  <c r="L688" i="5" s="1"/>
  <c r="N688" i="5"/>
  <c r="M688" i="5"/>
  <c r="P688" i="5" s="1"/>
  <c r="N687" i="5"/>
  <c r="M687" i="5"/>
  <c r="N686" i="5"/>
  <c r="N685" i="5" s="1"/>
  <c r="M686" i="5"/>
  <c r="P686" i="5" s="1"/>
  <c r="L686" i="5"/>
  <c r="J679" i="5"/>
  <c r="J678" i="5" s="1"/>
  <c r="I678" i="5"/>
  <c r="K678" i="5" s="1"/>
  <c r="J675" i="5"/>
  <c r="J669" i="5" s="1"/>
  <c r="J654" i="5" s="1"/>
  <c r="I671" i="5"/>
  <c r="K671" i="5" s="1"/>
  <c r="I670" i="5"/>
  <c r="K670" i="5" s="1"/>
  <c r="I669" i="5"/>
  <c r="K672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N655" i="5" s="1"/>
  <c r="L660" i="5"/>
  <c r="O660" i="5" s="1"/>
  <c r="P659" i="5"/>
  <c r="O659" i="5"/>
  <c r="P658" i="5"/>
  <c r="N658" i="5"/>
  <c r="M658" i="5"/>
  <c r="P657" i="5"/>
  <c r="M657" i="5"/>
  <c r="P656" i="5"/>
  <c r="O656" i="5"/>
  <c r="N656" i="5"/>
  <c r="M656" i="5"/>
  <c r="L656" i="5"/>
  <c r="M655" i="5"/>
  <c r="P655" i="5" s="1"/>
  <c r="K652" i="5"/>
  <c r="J652" i="5"/>
  <c r="J651" i="5"/>
  <c r="J628" i="5" s="1"/>
  <c r="I651" i="5"/>
  <c r="K651" i="5" s="1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N639" i="5"/>
  <c r="M639" i="5"/>
  <c r="P639" i="5" s="1"/>
  <c r="P634" i="5"/>
  <c r="N634" i="5"/>
  <c r="L634" i="5"/>
  <c r="P633" i="5"/>
  <c r="O633" i="5"/>
  <c r="N632" i="5"/>
  <c r="M632" i="5"/>
  <c r="P632" i="5" s="1"/>
  <c r="N631" i="5"/>
  <c r="M631" i="5"/>
  <c r="P631" i="5" s="1"/>
  <c r="P630" i="5"/>
  <c r="N630" i="5"/>
  <c r="N629" i="5" s="1"/>
  <c r="M630" i="5"/>
  <c r="M629" i="5" s="1"/>
  <c r="P629" i="5" s="1"/>
  <c r="L630" i="5"/>
  <c r="O630" i="5" s="1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J593" i="5"/>
  <c r="I593" i="5"/>
  <c r="I592" i="5" s="1"/>
  <c r="J583" i="5"/>
  <c r="J582" i="5"/>
  <c r="J576" i="5" s="1"/>
  <c r="J577" i="5"/>
  <c r="I577" i="5"/>
  <c r="K577" i="5" s="1"/>
  <c r="I576" i="5"/>
  <c r="J569" i="5"/>
  <c r="I569" i="5"/>
  <c r="K569" i="5" s="1"/>
  <c r="J568" i="5"/>
  <c r="I568" i="5"/>
  <c r="K568" i="5" s="1"/>
  <c r="J561" i="5"/>
  <c r="I561" i="5"/>
  <c r="J560" i="5"/>
  <c r="I560" i="5"/>
  <c r="K560" i="5" s="1"/>
  <c r="J559" i="5"/>
  <c r="J543" i="5" s="1"/>
  <c r="P557" i="5"/>
  <c r="L557" i="5"/>
  <c r="P556" i="5"/>
  <c r="O556" i="5"/>
  <c r="N555" i="5"/>
  <c r="M555" i="5"/>
  <c r="P549" i="5"/>
  <c r="N549" i="5"/>
  <c r="L549" i="5"/>
  <c r="O549" i="5" s="1"/>
  <c r="P548" i="5"/>
  <c r="O548" i="5"/>
  <c r="P547" i="5"/>
  <c r="N547" i="5"/>
  <c r="M547" i="5"/>
  <c r="N546" i="5"/>
  <c r="M546" i="5"/>
  <c r="P546" i="5" s="1"/>
  <c r="N545" i="5"/>
  <c r="L545" i="5"/>
  <c r="O545" i="5" s="1"/>
  <c r="I542" i="5"/>
  <c r="K542" i="5" s="1"/>
  <c r="I541" i="5"/>
  <c r="K541" i="5" s="1"/>
  <c r="I540" i="5"/>
  <c r="K540" i="5" s="1"/>
  <c r="I539" i="5"/>
  <c r="I538" i="5"/>
  <c r="K538" i="5" s="1"/>
  <c r="I537" i="5"/>
  <c r="I522" i="5" s="1"/>
  <c r="K522" i="5" s="1"/>
  <c r="P535" i="5"/>
  <c r="L535" i="5"/>
  <c r="O535" i="5" s="1"/>
  <c r="P534" i="5"/>
  <c r="O534" i="5"/>
  <c r="N533" i="5"/>
  <c r="M533" i="5"/>
  <c r="P533" i="5" s="1"/>
  <c r="P528" i="5"/>
  <c r="N528" i="5"/>
  <c r="N525" i="5" s="1"/>
  <c r="L528" i="5"/>
  <c r="P527" i="5"/>
  <c r="O527" i="5"/>
  <c r="M526" i="5"/>
  <c r="P526" i="5" s="1"/>
  <c r="M525" i="5"/>
  <c r="P525" i="5" s="1"/>
  <c r="P524" i="5"/>
  <c r="N524" i="5"/>
  <c r="N523" i="5" s="1"/>
  <c r="M524" i="5"/>
  <c r="L524" i="5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N505" i="5"/>
  <c r="M505" i="5"/>
  <c r="L505" i="5"/>
  <c r="O505" i="5" s="1"/>
  <c r="O504" i="5"/>
  <c r="N504" i="5"/>
  <c r="M504" i="5"/>
  <c r="P504" i="5" s="1"/>
  <c r="L504" i="5"/>
  <c r="P503" i="5"/>
  <c r="N503" i="5"/>
  <c r="M503" i="5"/>
  <c r="M502" i="5" s="1"/>
  <c r="P502" i="5" s="1"/>
  <c r="L503" i="5"/>
  <c r="L502" i="5" s="1"/>
  <c r="O502" i="5" s="1"/>
  <c r="N502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P472" i="5"/>
  <c r="N472" i="5"/>
  <c r="L472" i="5"/>
  <c r="L470" i="5" s="1"/>
  <c r="P471" i="5"/>
  <c r="O471" i="5"/>
  <c r="P470" i="5"/>
  <c r="M470" i="5"/>
  <c r="M469" i="5"/>
  <c r="P469" i="5" s="1"/>
  <c r="P468" i="5"/>
  <c r="N468" i="5"/>
  <c r="M468" i="5"/>
  <c r="M467" i="5" s="1"/>
  <c r="P467" i="5" s="1"/>
  <c r="L468" i="5"/>
  <c r="O468" i="5" s="1"/>
  <c r="J466" i="5"/>
  <c r="I466" i="5"/>
  <c r="K466" i="5" s="1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P455" i="5"/>
  <c r="O455" i="5"/>
  <c r="P454" i="5"/>
  <c r="N454" i="5"/>
  <c r="M454" i="5"/>
  <c r="P449" i="5"/>
  <c r="N449" i="5"/>
  <c r="L449" i="5"/>
  <c r="O449" i="5" s="1"/>
  <c r="P448" i="5"/>
  <c r="O448" i="5"/>
  <c r="N447" i="5"/>
  <c r="M447" i="5"/>
  <c r="P447" i="5" s="1"/>
  <c r="N446" i="5"/>
  <c r="M446" i="5"/>
  <c r="P446" i="5" s="1"/>
  <c r="N445" i="5"/>
  <c r="N444" i="5" s="1"/>
  <c r="M445" i="5"/>
  <c r="L445" i="5"/>
  <c r="O445" i="5" s="1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I433" i="5" s="1"/>
  <c r="I417" i="5" s="1"/>
  <c r="J434" i="5"/>
  <c r="P431" i="5"/>
  <c r="L431" i="5"/>
  <c r="L429" i="5" s="1"/>
  <c r="O429" i="5" s="1"/>
  <c r="P430" i="5"/>
  <c r="O430" i="5"/>
  <c r="N429" i="5"/>
  <c r="M429" i="5"/>
  <c r="P429" i="5" s="1"/>
  <c r="P424" i="5"/>
  <c r="N424" i="5"/>
  <c r="L424" i="5"/>
  <c r="O424" i="5" s="1"/>
  <c r="P423" i="5"/>
  <c r="O423" i="5"/>
  <c r="P422" i="5"/>
  <c r="N422" i="5"/>
  <c r="M422" i="5"/>
  <c r="N421" i="5"/>
  <c r="M421" i="5"/>
  <c r="P421" i="5" s="1"/>
  <c r="N420" i="5"/>
  <c r="N419" i="5" s="1"/>
  <c r="M420" i="5"/>
  <c r="L420" i="5"/>
  <c r="O420" i="5" s="1"/>
  <c r="J418" i="5"/>
  <c r="K413" i="5"/>
  <c r="K412" i="5"/>
  <c r="N410" i="5"/>
  <c r="N408" i="5" s="1"/>
  <c r="M410" i="5"/>
  <c r="P410" i="5" s="1"/>
  <c r="L410" i="5"/>
  <c r="L408" i="5" s="1"/>
  <c r="O408" i="5" s="1"/>
  <c r="P409" i="5"/>
  <c r="O409" i="5"/>
  <c r="N407" i="5"/>
  <c r="N405" i="5" s="1"/>
  <c r="M407" i="5"/>
  <c r="P407" i="5" s="1"/>
  <c r="L407" i="5"/>
  <c r="P406" i="5"/>
  <c r="O406" i="5"/>
  <c r="N403" i="5"/>
  <c r="M403" i="5"/>
  <c r="P403" i="5" s="1"/>
  <c r="L403" i="5"/>
  <c r="O403" i="5" s="1"/>
  <c r="K401" i="5"/>
  <c r="J401" i="5"/>
  <c r="I401" i="5"/>
  <c r="K400" i="5"/>
  <c r="K399" i="5"/>
  <c r="N397" i="5"/>
  <c r="N395" i="5" s="1"/>
  <c r="M397" i="5"/>
  <c r="L397" i="5"/>
  <c r="O397" i="5" s="1"/>
  <c r="P396" i="5"/>
  <c r="O396" i="5"/>
  <c r="N394" i="5"/>
  <c r="M394" i="5"/>
  <c r="L394" i="5"/>
  <c r="O394" i="5" s="1"/>
  <c r="P393" i="5"/>
  <c r="O393" i="5"/>
  <c r="N390" i="5"/>
  <c r="M390" i="5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M350" i="5"/>
  <c r="M348" i="5" s="1"/>
  <c r="L350" i="5"/>
  <c r="L348" i="5" s="1"/>
  <c r="P349" i="5"/>
  <c r="O349" i="5"/>
  <c r="P346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L336" i="5"/>
  <c r="O336" i="5" s="1"/>
  <c r="P335" i="5"/>
  <c r="O335" i="5"/>
  <c r="N333" i="5"/>
  <c r="M333" i="5"/>
  <c r="M331" i="5" s="1"/>
  <c r="L333" i="5"/>
  <c r="P332" i="5"/>
  <c r="O332" i="5"/>
  <c r="P329" i="5"/>
  <c r="N329" i="5"/>
  <c r="M329" i="5"/>
  <c r="L329" i="5"/>
  <c r="O329" i="5" s="1"/>
  <c r="I327" i="5"/>
  <c r="I325" i="5"/>
  <c r="N323" i="5"/>
  <c r="N321" i="5" s="1"/>
  <c r="M323" i="5"/>
  <c r="L323" i="5"/>
  <c r="O323" i="5" s="1"/>
  <c r="P322" i="5"/>
  <c r="O322" i="5"/>
  <c r="N320" i="5"/>
  <c r="N318" i="5" s="1"/>
  <c r="M320" i="5"/>
  <c r="M318" i="5" s="1"/>
  <c r="P318" i="5" s="1"/>
  <c r="L320" i="5"/>
  <c r="O320" i="5" s="1"/>
  <c r="P319" i="5"/>
  <c r="O319" i="5"/>
  <c r="O316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M306" i="5"/>
  <c r="M304" i="5" s="1"/>
  <c r="P304" i="5" s="1"/>
  <c r="L306" i="5"/>
  <c r="O306" i="5" s="1"/>
  <c r="P305" i="5"/>
  <c r="O305" i="5"/>
  <c r="N303" i="5"/>
  <c r="N301" i="5" s="1"/>
  <c r="M303" i="5"/>
  <c r="M301" i="5" s="1"/>
  <c r="L303" i="5"/>
  <c r="L301" i="5" s="1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K287" i="5" s="1"/>
  <c r="N285" i="5"/>
  <c r="N283" i="5" s="1"/>
  <c r="M285" i="5"/>
  <c r="P285" i="5" s="1"/>
  <c r="L285" i="5"/>
  <c r="L283" i="5" s="1"/>
  <c r="O283" i="5" s="1"/>
  <c r="P284" i="5"/>
  <c r="O284" i="5"/>
  <c r="N282" i="5"/>
  <c r="N280" i="5" s="1"/>
  <c r="M282" i="5"/>
  <c r="L282" i="5"/>
  <c r="P281" i="5"/>
  <c r="O281" i="5"/>
  <c r="P278" i="5"/>
  <c r="N278" i="5"/>
  <c r="M278" i="5"/>
  <c r="L278" i="5"/>
  <c r="J276" i="5"/>
  <c r="I271" i="5"/>
  <c r="I260" i="5" s="1"/>
  <c r="K260" i="5" s="1"/>
  <c r="N269" i="5"/>
  <c r="N267" i="5" s="1"/>
  <c r="M269" i="5"/>
  <c r="M267" i="5" s="1"/>
  <c r="P267" i="5" s="1"/>
  <c r="L269" i="5"/>
  <c r="O269" i="5" s="1"/>
  <c r="P268" i="5"/>
  <c r="O268" i="5"/>
  <c r="N266" i="5"/>
  <c r="N264" i="5" s="1"/>
  <c r="M266" i="5"/>
  <c r="M264" i="5" s="1"/>
  <c r="L266" i="5"/>
  <c r="L264" i="5" s="1"/>
  <c r="P265" i="5"/>
  <c r="O265" i="5"/>
  <c r="P262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N227" i="5" s="1"/>
  <c r="J248" i="5"/>
  <c r="K247" i="5"/>
  <c r="K246" i="5"/>
  <c r="I244" i="5"/>
  <c r="L242" i="5"/>
  <c r="L241" i="5"/>
  <c r="L240" i="5"/>
  <c r="L239" i="5"/>
  <c r="P238" i="5"/>
  <c r="N238" i="5"/>
  <c r="J237" i="5"/>
  <c r="K236" i="5"/>
  <c r="J236" i="5"/>
  <c r="I236" i="5"/>
  <c r="K235" i="5"/>
  <c r="J235" i="5"/>
  <c r="I235" i="5"/>
  <c r="J233" i="5"/>
  <c r="N231" i="5"/>
  <c r="N230" i="5"/>
  <c r="N229" i="5"/>
  <c r="N228" i="5"/>
  <c r="J226" i="5"/>
  <c r="J180" i="5" s="1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P191" i="5"/>
  <c r="L191" i="5"/>
  <c r="O191" i="5" s="1"/>
  <c r="J190" i="5"/>
  <c r="N189" i="5"/>
  <c r="N187" i="5" s="1"/>
  <c r="M189" i="5"/>
  <c r="L189" i="5"/>
  <c r="O189" i="5" s="1"/>
  <c r="P188" i="5"/>
  <c r="O188" i="5"/>
  <c r="N186" i="5"/>
  <c r="M186" i="5"/>
  <c r="M184" i="5" s="1"/>
  <c r="L186" i="5"/>
  <c r="L184" i="5" s="1"/>
  <c r="P185" i="5"/>
  <c r="O185" i="5"/>
  <c r="O182" i="5"/>
  <c r="N182" i="5"/>
  <c r="M182" i="5"/>
  <c r="L182" i="5"/>
  <c r="K180" i="5"/>
  <c r="J177" i="5"/>
  <c r="J164" i="5" s="1"/>
  <c r="I176" i="5"/>
  <c r="I174" i="5" s="1"/>
  <c r="I164" i="5" s="1"/>
  <c r="K164" i="5" s="1"/>
  <c r="J174" i="5"/>
  <c r="N173" i="5"/>
  <c r="N171" i="5" s="1"/>
  <c r="M173" i="5"/>
  <c r="L173" i="5"/>
  <c r="O173" i="5" s="1"/>
  <c r="P172" i="5"/>
  <c r="O172" i="5"/>
  <c r="N170" i="5"/>
  <c r="M170" i="5"/>
  <c r="M168" i="5" s="1"/>
  <c r="L170" i="5"/>
  <c r="P169" i="5"/>
  <c r="O169" i="5"/>
  <c r="P166" i="5"/>
  <c r="O166" i="5"/>
  <c r="N166" i="5"/>
  <c r="M166" i="5"/>
  <c r="L166" i="5"/>
  <c r="I159" i="5"/>
  <c r="N157" i="5"/>
  <c r="M157" i="5"/>
  <c r="P157" i="5" s="1"/>
  <c r="L157" i="5"/>
  <c r="O157" i="5" s="1"/>
  <c r="P156" i="5"/>
  <c r="O156" i="5"/>
  <c r="N154" i="5"/>
  <c r="N152" i="5" s="1"/>
  <c r="M154" i="5"/>
  <c r="L154" i="5"/>
  <c r="O154" i="5" s="1"/>
  <c r="P153" i="5"/>
  <c r="O153" i="5"/>
  <c r="P150" i="5"/>
  <c r="N150" i="5"/>
  <c r="M150" i="5"/>
  <c r="L150" i="5"/>
  <c r="O150" i="5" s="1"/>
  <c r="J148" i="5"/>
  <c r="I146" i="5"/>
  <c r="I130" i="5" s="1"/>
  <c r="K130" i="5" s="1"/>
  <c r="I145" i="5"/>
  <c r="I144" i="5"/>
  <c r="K144" i="5" s="1"/>
  <c r="N140" i="5"/>
  <c r="N138" i="5" s="1"/>
  <c r="M140" i="5"/>
  <c r="P140" i="5" s="1"/>
  <c r="L140" i="5"/>
  <c r="L138" i="5" s="1"/>
  <c r="O138" i="5" s="1"/>
  <c r="P139" i="5"/>
  <c r="O139" i="5"/>
  <c r="N137" i="5"/>
  <c r="N135" i="5" s="1"/>
  <c r="M137" i="5"/>
  <c r="L137" i="5"/>
  <c r="L135" i="5" s="1"/>
  <c r="O135" i="5" s="1"/>
  <c r="P136" i="5"/>
  <c r="O136" i="5"/>
  <c r="O133" i="5"/>
  <c r="N133" i="5"/>
  <c r="M133" i="5"/>
  <c r="P133" i="5" s="1"/>
  <c r="L133" i="5"/>
  <c r="J130" i="5"/>
  <c r="N127" i="5"/>
  <c r="N125" i="5" s="1"/>
  <c r="M127" i="5"/>
  <c r="M125" i="5" s="1"/>
  <c r="P125" i="5" s="1"/>
  <c r="L127" i="5"/>
  <c r="O127" i="5" s="1"/>
  <c r="P126" i="5"/>
  <c r="O126" i="5"/>
  <c r="N124" i="5"/>
  <c r="M124" i="5"/>
  <c r="P124" i="5" s="1"/>
  <c r="L124" i="5"/>
  <c r="L122" i="5" s="1"/>
  <c r="O122" i="5" s="1"/>
  <c r="P123" i="5"/>
  <c r="O123" i="5"/>
  <c r="P120" i="5"/>
  <c r="O120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K99" i="5" s="1"/>
  <c r="J98" i="5"/>
  <c r="I98" i="5"/>
  <c r="K98" i="5" s="1"/>
  <c r="N96" i="5"/>
  <c r="M96" i="5"/>
  <c r="L96" i="5"/>
  <c r="O96" i="5" s="1"/>
  <c r="P95" i="5"/>
  <c r="O95" i="5"/>
  <c r="N93" i="5"/>
  <c r="M93" i="5"/>
  <c r="M91" i="5" s="1"/>
  <c r="L93" i="5"/>
  <c r="P92" i="5"/>
  <c r="O92" i="5"/>
  <c r="P89" i="5"/>
  <c r="O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I79" i="5"/>
  <c r="K79" i="5" s="1"/>
  <c r="I78" i="5"/>
  <c r="K78" i="5" s="1"/>
  <c r="J77" i="5"/>
  <c r="J65" i="5" s="1"/>
  <c r="J76" i="5"/>
  <c r="N74" i="5"/>
  <c r="N72" i="5" s="1"/>
  <c r="M74" i="5"/>
  <c r="M72" i="5" s="1"/>
  <c r="P72" i="5" s="1"/>
  <c r="L74" i="5"/>
  <c r="L72" i="5" s="1"/>
  <c r="O72" i="5" s="1"/>
  <c r="P73" i="5"/>
  <c r="O73" i="5"/>
  <c r="N71" i="5"/>
  <c r="M71" i="5"/>
  <c r="M69" i="5" s="1"/>
  <c r="L71" i="5"/>
  <c r="L69" i="5" s="1"/>
  <c r="P70" i="5"/>
  <c r="O70" i="5"/>
  <c r="O67" i="5"/>
  <c r="N67" i="5"/>
  <c r="M67" i="5"/>
  <c r="P67" i="5" s="1"/>
  <c r="L67" i="5"/>
  <c r="J64" i="5"/>
  <c r="N61" i="5"/>
  <c r="N59" i="5" s="1"/>
  <c r="M61" i="5"/>
  <c r="L61" i="5"/>
  <c r="P60" i="5"/>
  <c r="O60" i="5"/>
  <c r="N58" i="5"/>
  <c r="N56" i="5" s="1"/>
  <c r="M58" i="5"/>
  <c r="L58" i="5"/>
  <c r="P57" i="5"/>
  <c r="O57" i="5"/>
  <c r="P54" i="5"/>
  <c r="N54" i="5"/>
  <c r="M54" i="5"/>
  <c r="L54" i="5"/>
  <c r="N49" i="5"/>
  <c r="N47" i="5" s="1"/>
  <c r="M49" i="5"/>
  <c r="P49" i="5" s="1"/>
  <c r="L49" i="5"/>
  <c r="L47" i="5" s="1"/>
  <c r="O47" i="5" s="1"/>
  <c r="P48" i="5"/>
  <c r="O48" i="5"/>
  <c r="N46" i="5"/>
  <c r="N44" i="5" s="1"/>
  <c r="M46" i="5"/>
  <c r="M44" i="5" s="1"/>
  <c r="L46" i="5"/>
  <c r="L44" i="5" s="1"/>
  <c r="P45" i="5"/>
  <c r="O45" i="5"/>
  <c r="O42" i="5"/>
  <c r="N42" i="5"/>
  <c r="M42" i="5"/>
  <c r="P42" i="5" s="1"/>
  <c r="L42" i="5"/>
  <c r="P36" i="5"/>
  <c r="N36" i="5"/>
  <c r="M36" i="5"/>
  <c r="P35" i="5"/>
  <c r="O35" i="5"/>
  <c r="N35" i="5"/>
  <c r="N34" i="5" s="1"/>
  <c r="M35" i="5"/>
  <c r="L35" i="5"/>
  <c r="P34" i="5"/>
  <c r="M34" i="5"/>
  <c r="N33" i="5"/>
  <c r="N30" i="5" s="1"/>
  <c r="M33" i="5"/>
  <c r="P33" i="5" s="1"/>
  <c r="N32" i="5"/>
  <c r="M32" i="5"/>
  <c r="M12" i="5" s="1"/>
  <c r="L32" i="5"/>
  <c r="O32" i="5" s="1"/>
  <c r="N25" i="5"/>
  <c r="N19" i="5" s="1"/>
  <c r="M25" i="5"/>
  <c r="L25" i="5"/>
  <c r="O25" i="5" s="1"/>
  <c r="P22" i="5"/>
  <c r="O22" i="5"/>
  <c r="N22" i="5"/>
  <c r="M22" i="5"/>
  <c r="L22" i="5"/>
  <c r="L19" i="5"/>
  <c r="O19" i="5" s="1"/>
  <c r="L12" i="5"/>
  <c r="O12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P817" i="4"/>
  <c r="O817" i="4"/>
  <c r="P816" i="4"/>
  <c r="O816" i="4"/>
  <c r="O815" i="4"/>
  <c r="N815" i="4"/>
  <c r="M815" i="4"/>
  <c r="P815" i="4" s="1"/>
  <c r="L815" i="4"/>
  <c r="P810" i="4"/>
  <c r="O810" i="4"/>
  <c r="N810" i="4"/>
  <c r="P809" i="4"/>
  <c r="O809" i="4"/>
  <c r="O808" i="4"/>
  <c r="M808" i="4"/>
  <c r="P808" i="4" s="1"/>
  <c r="L808" i="4"/>
  <c r="P807" i="4"/>
  <c r="M807" i="4"/>
  <c r="L807" i="4"/>
  <c r="O806" i="4"/>
  <c r="N806" i="4"/>
  <c r="M806" i="4"/>
  <c r="P806" i="4" s="1"/>
  <c r="L806" i="4"/>
  <c r="P805" i="4"/>
  <c r="M805" i="4"/>
  <c r="K804" i="4"/>
  <c r="J804" i="4"/>
  <c r="K802" i="4"/>
  <c r="J801" i="4"/>
  <c r="J800" i="4"/>
  <c r="J785" i="4" s="1"/>
  <c r="I800" i="4"/>
  <c r="K800" i="4" s="1"/>
  <c r="P798" i="4"/>
  <c r="O798" i="4"/>
  <c r="P797" i="4"/>
  <c r="O797" i="4"/>
  <c r="P796" i="4"/>
  <c r="N796" i="4"/>
  <c r="M796" i="4"/>
  <c r="L796" i="4"/>
  <c r="O796" i="4" s="1"/>
  <c r="P791" i="4"/>
  <c r="N791" i="4"/>
  <c r="L791" i="4"/>
  <c r="P790" i="4"/>
  <c r="O790" i="4"/>
  <c r="N789" i="4"/>
  <c r="M789" i="4"/>
  <c r="P789" i="4" s="1"/>
  <c r="P788" i="4"/>
  <c r="N788" i="4"/>
  <c r="M788" i="4"/>
  <c r="O787" i="4"/>
  <c r="N787" i="4"/>
  <c r="M787" i="4"/>
  <c r="P787" i="4" s="1"/>
  <c r="L787" i="4"/>
  <c r="P786" i="4"/>
  <c r="N786" i="4"/>
  <c r="M786" i="4"/>
  <c r="P782" i="4"/>
  <c r="O782" i="4"/>
  <c r="P781" i="4"/>
  <c r="O781" i="4"/>
  <c r="P780" i="4"/>
  <c r="N780" i="4"/>
  <c r="M780" i="4"/>
  <c r="L780" i="4"/>
  <c r="O780" i="4" s="1"/>
  <c r="P775" i="4"/>
  <c r="O775" i="4"/>
  <c r="N775" i="4"/>
  <c r="N772" i="4" s="1"/>
  <c r="N770" i="4" s="1"/>
  <c r="P774" i="4"/>
  <c r="O774" i="4"/>
  <c r="P773" i="4"/>
  <c r="N773" i="4"/>
  <c r="M773" i="4"/>
  <c r="L773" i="4"/>
  <c r="O773" i="4" s="1"/>
  <c r="O772" i="4"/>
  <c r="M772" i="4"/>
  <c r="L772" i="4"/>
  <c r="P771" i="4"/>
  <c r="N771" i="4"/>
  <c r="M771" i="4"/>
  <c r="L771" i="4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N756" i="4" s="1"/>
  <c r="N754" i="4" s="1"/>
  <c r="P758" i="4"/>
  <c r="O758" i="4"/>
  <c r="P757" i="4"/>
  <c r="N757" i="4"/>
  <c r="M757" i="4"/>
  <c r="L757" i="4"/>
  <c r="O757" i="4" s="1"/>
  <c r="O756" i="4"/>
  <c r="M756" i="4"/>
  <c r="L756" i="4"/>
  <c r="P755" i="4"/>
  <c r="N755" i="4"/>
  <c r="M755" i="4"/>
  <c r="L755" i="4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N739" i="4" s="1"/>
  <c r="N737" i="4" s="1"/>
  <c r="P741" i="4"/>
  <c r="O741" i="4"/>
  <c r="P740" i="4"/>
  <c r="N740" i="4"/>
  <c r="M740" i="4"/>
  <c r="L740" i="4"/>
  <c r="O740" i="4" s="1"/>
  <c r="O739" i="4"/>
  <c r="M739" i="4"/>
  <c r="L739" i="4"/>
  <c r="P738" i="4"/>
  <c r="N738" i="4"/>
  <c r="M738" i="4"/>
  <c r="L738" i="4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P695" i="4"/>
  <c r="N695" i="4"/>
  <c r="M695" i="4"/>
  <c r="L695" i="4"/>
  <c r="O695" i="4" s="1"/>
  <c r="P690" i="4"/>
  <c r="N690" i="4"/>
  <c r="N688" i="4" s="1"/>
  <c r="L690" i="4"/>
  <c r="L688" i="4" s="1"/>
  <c r="O688" i="4" s="1"/>
  <c r="M688" i="4"/>
  <c r="P688" i="4" s="1"/>
  <c r="P687" i="4"/>
  <c r="N687" i="4"/>
  <c r="M687" i="4"/>
  <c r="O686" i="4"/>
  <c r="N686" i="4"/>
  <c r="M686" i="4"/>
  <c r="P686" i="4" s="1"/>
  <c r="L686" i="4"/>
  <c r="P685" i="4"/>
  <c r="N685" i="4"/>
  <c r="M685" i="4"/>
  <c r="J679" i="4"/>
  <c r="J678" i="4"/>
  <c r="I678" i="4"/>
  <c r="K678" i="4" s="1"/>
  <c r="J675" i="4"/>
  <c r="J669" i="4" s="1"/>
  <c r="J654" i="4" s="1"/>
  <c r="I671" i="4"/>
  <c r="K671" i="4" s="1"/>
  <c r="I670" i="4"/>
  <c r="K670" i="4" s="1"/>
  <c r="I669" i="4"/>
  <c r="K669" i="4" s="1"/>
  <c r="P667" i="4"/>
  <c r="O667" i="4"/>
  <c r="P666" i="4"/>
  <c r="O666" i="4"/>
  <c r="O665" i="4"/>
  <c r="N665" i="4"/>
  <c r="M665" i="4"/>
  <c r="P665" i="4" s="1"/>
  <c r="L665" i="4"/>
  <c r="P660" i="4"/>
  <c r="N660" i="4"/>
  <c r="N657" i="4" s="1"/>
  <c r="L660" i="4"/>
  <c r="L658" i="4" s="1"/>
  <c r="O658" i="4" s="1"/>
  <c r="P659" i="4"/>
  <c r="O659" i="4"/>
  <c r="P658" i="4"/>
  <c r="N658" i="4"/>
  <c r="M658" i="4"/>
  <c r="M657" i="4"/>
  <c r="P657" i="4" s="1"/>
  <c r="P656" i="4"/>
  <c r="N656" i="4"/>
  <c r="N655" i="4" s="1"/>
  <c r="M656" i="4"/>
  <c r="L656" i="4"/>
  <c r="M655" i="4"/>
  <c r="P655" i="4" s="1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L634" i="4"/>
  <c r="L632" i="4" s="1"/>
  <c r="O632" i="4" s="1"/>
  <c r="P633" i="4"/>
  <c r="O633" i="4"/>
  <c r="P632" i="4"/>
  <c r="N632" i="4"/>
  <c r="M632" i="4"/>
  <c r="N631" i="4"/>
  <c r="M631" i="4"/>
  <c r="P631" i="4" s="1"/>
  <c r="P630" i="4"/>
  <c r="N630" i="4"/>
  <c r="N629" i="4" s="1"/>
  <c r="M630" i="4"/>
  <c r="M629" i="4" s="1"/>
  <c r="P629" i="4" s="1"/>
  <c r="L630" i="4"/>
  <c r="O630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4" i="4"/>
  <c r="I594" i="4"/>
  <c r="K594" i="4" s="1"/>
  <c r="J593" i="4"/>
  <c r="I593" i="4"/>
  <c r="I592" i="4" s="1"/>
  <c r="J592" i="4"/>
  <c r="J583" i="4"/>
  <c r="J577" i="4" s="1"/>
  <c r="J582" i="4"/>
  <c r="J576" i="4" s="1"/>
  <c r="J559" i="4" s="1"/>
  <c r="J543" i="4" s="1"/>
  <c r="I577" i="4"/>
  <c r="K577" i="4" s="1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P555" i="4"/>
  <c r="N555" i="4"/>
  <c r="N545" i="4" s="1"/>
  <c r="N544" i="4" s="1"/>
  <c r="M555" i="4"/>
  <c r="P549" i="4"/>
  <c r="N549" i="4"/>
  <c r="L549" i="4"/>
  <c r="L547" i="4" s="1"/>
  <c r="O547" i="4" s="1"/>
  <c r="P548" i="4"/>
  <c r="O548" i="4"/>
  <c r="N547" i="4"/>
  <c r="M547" i="4"/>
  <c r="P547" i="4" s="1"/>
  <c r="P546" i="4"/>
  <c r="N546" i="4"/>
  <c r="M546" i="4"/>
  <c r="O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K538" i="4" s="1"/>
  <c r="I537" i="4"/>
  <c r="I522" i="4" s="1"/>
  <c r="K522" i="4" s="1"/>
  <c r="P535" i="4"/>
  <c r="L535" i="4"/>
  <c r="O535" i="4" s="1"/>
  <c r="P534" i="4"/>
  <c r="O534" i="4"/>
  <c r="P533" i="4"/>
  <c r="N533" i="4"/>
  <c r="M533" i="4"/>
  <c r="P528" i="4"/>
  <c r="N528" i="4"/>
  <c r="L528" i="4"/>
  <c r="P527" i="4"/>
  <c r="O527" i="4"/>
  <c r="P526" i="4"/>
  <c r="N526" i="4"/>
  <c r="M526" i="4"/>
  <c r="P525" i="4"/>
  <c r="N525" i="4"/>
  <c r="M525" i="4"/>
  <c r="O524" i="4"/>
  <c r="N524" i="4"/>
  <c r="N523" i="4" s="1"/>
  <c r="M524" i="4"/>
  <c r="P524" i="4" s="1"/>
  <c r="L524" i="4"/>
  <c r="P523" i="4"/>
  <c r="M523" i="4"/>
  <c r="K517" i="4"/>
  <c r="J517" i="4"/>
  <c r="J501" i="4" s="1"/>
  <c r="K516" i="4"/>
  <c r="P514" i="4"/>
  <c r="O514" i="4"/>
  <c r="P513" i="4"/>
  <c r="O513" i="4"/>
  <c r="P512" i="4"/>
  <c r="O512" i="4"/>
  <c r="N512" i="4"/>
  <c r="M512" i="4"/>
  <c r="L512" i="4"/>
  <c r="P507" i="4"/>
  <c r="O507" i="4"/>
  <c r="N507" i="4"/>
  <c r="N504" i="4" s="1"/>
  <c r="N502" i="4" s="1"/>
  <c r="P506" i="4"/>
  <c r="O506" i="4"/>
  <c r="O505" i="4"/>
  <c r="N505" i="4"/>
  <c r="M505" i="4"/>
  <c r="P505" i="4" s="1"/>
  <c r="L505" i="4"/>
  <c r="P504" i="4"/>
  <c r="M504" i="4"/>
  <c r="L504" i="4"/>
  <c r="O504" i="4" s="1"/>
  <c r="O503" i="4"/>
  <c r="N503" i="4"/>
  <c r="M503" i="4"/>
  <c r="M502" i="4" s="1"/>
  <c r="P502" i="4" s="1"/>
  <c r="L503" i="4"/>
  <c r="L502" i="4" s="1"/>
  <c r="O502" i="4" s="1"/>
  <c r="K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L477" i="4" s="1"/>
  <c r="O477" i="4" s="1"/>
  <c r="P478" i="4"/>
  <c r="O478" i="4"/>
  <c r="P477" i="4"/>
  <c r="N477" i="4"/>
  <c r="M477" i="4"/>
  <c r="P472" i="4"/>
  <c r="N472" i="4"/>
  <c r="N469" i="4" s="1"/>
  <c r="L472" i="4"/>
  <c r="P471" i="4"/>
  <c r="O471" i="4"/>
  <c r="N470" i="4"/>
  <c r="M470" i="4"/>
  <c r="P470" i="4" s="1"/>
  <c r="M469" i="4"/>
  <c r="P469" i="4" s="1"/>
  <c r="O468" i="4"/>
  <c r="N468" i="4"/>
  <c r="M468" i="4"/>
  <c r="M467" i="4" s="1"/>
  <c r="P467" i="4" s="1"/>
  <c r="L468" i="4"/>
  <c r="N467" i="4"/>
  <c r="J466" i="4"/>
  <c r="I466" i="4"/>
  <c r="K466" i="4" s="1"/>
  <c r="J465" i="4"/>
  <c r="I465" i="4"/>
  <c r="K465" i="4" s="1"/>
  <c r="I464" i="4"/>
  <c r="I463" i="4"/>
  <c r="I462" i="4"/>
  <c r="K462" i="4" s="1"/>
  <c r="I460" i="4"/>
  <c r="K458" i="4"/>
  <c r="P456" i="4"/>
  <c r="L456" i="4"/>
  <c r="P455" i="4"/>
  <c r="O455" i="4"/>
  <c r="N454" i="4"/>
  <c r="M454" i="4"/>
  <c r="P454" i="4" s="1"/>
  <c r="P449" i="4"/>
  <c r="N449" i="4"/>
  <c r="L449" i="4"/>
  <c r="O449" i="4" s="1"/>
  <c r="P448" i="4"/>
  <c r="O448" i="4"/>
  <c r="P447" i="4"/>
  <c r="N447" i="4"/>
  <c r="M447" i="4"/>
  <c r="N446" i="4"/>
  <c r="M446" i="4"/>
  <c r="P446" i="4" s="1"/>
  <c r="N445" i="4"/>
  <c r="N444" i="4" s="1"/>
  <c r="M445" i="4"/>
  <c r="P445" i="4" s="1"/>
  <c r="L445" i="4"/>
  <c r="J443" i="4"/>
  <c r="J442" i="4"/>
  <c r="I441" i="4"/>
  <c r="K441" i="4" s="1"/>
  <c r="I440" i="4"/>
  <c r="I439" i="4"/>
  <c r="K439" i="4" s="1"/>
  <c r="I438" i="4"/>
  <c r="K438" i="4" s="1"/>
  <c r="I437" i="4"/>
  <c r="K437" i="4" s="1"/>
  <c r="I435" i="4"/>
  <c r="J434" i="4"/>
  <c r="P431" i="4"/>
  <c r="L431" i="4"/>
  <c r="P430" i="4"/>
  <c r="O430" i="4"/>
  <c r="P429" i="4"/>
  <c r="N429" i="4"/>
  <c r="M429" i="4"/>
  <c r="P424" i="4"/>
  <c r="N424" i="4"/>
  <c r="N421" i="4" s="1"/>
  <c r="L424" i="4"/>
  <c r="L422" i="4" s="1"/>
  <c r="O422" i="4" s="1"/>
  <c r="P423" i="4"/>
  <c r="O423" i="4"/>
  <c r="P422" i="4"/>
  <c r="N422" i="4"/>
  <c r="M422" i="4"/>
  <c r="M421" i="4"/>
  <c r="P421" i="4" s="1"/>
  <c r="N420" i="4"/>
  <c r="M420" i="4"/>
  <c r="M419" i="4" s="1"/>
  <c r="L420" i="4"/>
  <c r="O420" i="4" s="1"/>
  <c r="J418" i="4"/>
  <c r="K413" i="4"/>
  <c r="K412" i="4"/>
  <c r="N410" i="4"/>
  <c r="M410" i="4"/>
  <c r="P410" i="4" s="1"/>
  <c r="L410" i="4"/>
  <c r="O410" i="4" s="1"/>
  <c r="P409" i="4"/>
  <c r="O409" i="4"/>
  <c r="N407" i="4"/>
  <c r="N405" i="4" s="1"/>
  <c r="M407" i="4"/>
  <c r="M405" i="4" s="1"/>
  <c r="P405" i="4" s="1"/>
  <c r="L407" i="4"/>
  <c r="P406" i="4"/>
  <c r="O406" i="4"/>
  <c r="P403" i="4"/>
  <c r="N403" i="4"/>
  <c r="M403" i="4"/>
  <c r="L403" i="4"/>
  <c r="J401" i="4"/>
  <c r="I401" i="4"/>
  <c r="K401" i="4" s="1"/>
  <c r="K400" i="4"/>
  <c r="K399" i="4"/>
  <c r="N397" i="4"/>
  <c r="N395" i="4" s="1"/>
  <c r="M397" i="4"/>
  <c r="L397" i="4"/>
  <c r="P396" i="4"/>
  <c r="O396" i="4"/>
  <c r="N394" i="4"/>
  <c r="N392" i="4" s="1"/>
  <c r="M394" i="4"/>
  <c r="L394" i="4"/>
  <c r="O394" i="4" s="1"/>
  <c r="P393" i="4"/>
  <c r="O393" i="4"/>
  <c r="P390" i="4"/>
  <c r="N390" i="4"/>
  <c r="M390" i="4"/>
  <c r="L390" i="4"/>
  <c r="O390" i="4" s="1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L353" i="4"/>
  <c r="L351" i="4" s="1"/>
  <c r="P352" i="4"/>
  <c r="O352" i="4"/>
  <c r="N350" i="4"/>
  <c r="N348" i="4" s="1"/>
  <c r="M350" i="4"/>
  <c r="L350" i="4"/>
  <c r="L348" i="4" s="1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L334" i="4" s="1"/>
  <c r="O334" i="4" s="1"/>
  <c r="P335" i="4"/>
  <c r="O335" i="4"/>
  <c r="N333" i="4"/>
  <c r="N331" i="4" s="1"/>
  <c r="M333" i="4"/>
  <c r="L333" i="4"/>
  <c r="P332" i="4"/>
  <c r="O332" i="4"/>
  <c r="O329" i="4"/>
  <c r="N329" i="4"/>
  <c r="M329" i="4"/>
  <c r="P329" i="4" s="1"/>
  <c r="L329" i="4"/>
  <c r="I327" i="4"/>
  <c r="I325" i="4"/>
  <c r="K325" i="4" s="1"/>
  <c r="N323" i="4"/>
  <c r="N321" i="4" s="1"/>
  <c r="M323" i="4"/>
  <c r="P323" i="4" s="1"/>
  <c r="L323" i="4"/>
  <c r="L321" i="4" s="1"/>
  <c r="O321" i="4" s="1"/>
  <c r="P322" i="4"/>
  <c r="O322" i="4"/>
  <c r="N320" i="4"/>
  <c r="M320" i="4"/>
  <c r="M318" i="4" s="1"/>
  <c r="P318" i="4" s="1"/>
  <c r="L320" i="4"/>
  <c r="O320" i="4" s="1"/>
  <c r="P319" i="4"/>
  <c r="O319" i="4"/>
  <c r="P316" i="4"/>
  <c r="O316" i="4"/>
  <c r="N316" i="4"/>
  <c r="M316" i="4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L306" i="4"/>
  <c r="P305" i="4"/>
  <c r="O305" i="4"/>
  <c r="N303" i="4"/>
  <c r="M303" i="4"/>
  <c r="P303" i="4" s="1"/>
  <c r="L303" i="4"/>
  <c r="O303" i="4" s="1"/>
  <c r="P302" i="4"/>
  <c r="O302" i="4"/>
  <c r="P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I276" i="4" s="1"/>
  <c r="N285" i="4"/>
  <c r="N283" i="4" s="1"/>
  <c r="M285" i="4"/>
  <c r="L285" i="4"/>
  <c r="P284" i="4"/>
  <c r="O284" i="4"/>
  <c r="N282" i="4"/>
  <c r="N280" i="4" s="1"/>
  <c r="M282" i="4"/>
  <c r="L282" i="4"/>
  <c r="P281" i="4"/>
  <c r="O281" i="4"/>
  <c r="N278" i="4"/>
  <c r="M278" i="4"/>
  <c r="L278" i="4"/>
  <c r="J276" i="4"/>
  <c r="I271" i="4"/>
  <c r="K271" i="4" s="1"/>
  <c r="N269" i="4"/>
  <c r="N267" i="4" s="1"/>
  <c r="M269" i="4"/>
  <c r="P269" i="4" s="1"/>
  <c r="L269" i="4"/>
  <c r="O269" i="4" s="1"/>
  <c r="P268" i="4"/>
  <c r="O268" i="4"/>
  <c r="N266" i="4"/>
  <c r="N264" i="4" s="1"/>
  <c r="M266" i="4"/>
  <c r="M264" i="4" s="1"/>
  <c r="L266" i="4"/>
  <c r="P265" i="4"/>
  <c r="O265" i="4"/>
  <c r="P262" i="4"/>
  <c r="N262" i="4"/>
  <c r="M262" i="4"/>
  <c r="L262" i="4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I237" i="4" s="1"/>
  <c r="K237" i="4" s="1"/>
  <c r="L242" i="4"/>
  <c r="L241" i="4"/>
  <c r="L240" i="4"/>
  <c r="L239" i="4"/>
  <c r="P238" i="4"/>
  <c r="N238" i="4"/>
  <c r="J237" i="4"/>
  <c r="J226" i="4" s="1"/>
  <c r="J180" i="4" s="1"/>
  <c r="K236" i="4"/>
  <c r="J236" i="4"/>
  <c r="I236" i="4"/>
  <c r="K235" i="4"/>
  <c r="J235" i="4"/>
  <c r="I235" i="4"/>
  <c r="J233" i="4"/>
  <c r="N231" i="4"/>
  <c r="N230" i="4"/>
  <c r="N229" i="4"/>
  <c r="N228" i="4"/>
  <c r="N227" i="4"/>
  <c r="I225" i="4"/>
  <c r="K225" i="4" s="1"/>
  <c r="I224" i="4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M186" i="4"/>
  <c r="L186" i="4"/>
  <c r="L184" i="4" s="1"/>
  <c r="P185" i="4"/>
  <c r="O185" i="4"/>
  <c r="P182" i="4"/>
  <c r="N182" i="4"/>
  <c r="M182" i="4"/>
  <c r="L182" i="4"/>
  <c r="K180" i="4"/>
  <c r="J177" i="4"/>
  <c r="I176" i="4"/>
  <c r="I174" i="4" s="1"/>
  <c r="J174" i="4"/>
  <c r="J164" i="4" s="1"/>
  <c r="N173" i="4"/>
  <c r="N171" i="4" s="1"/>
  <c r="M173" i="4"/>
  <c r="L173" i="4"/>
  <c r="P172" i="4"/>
  <c r="O172" i="4"/>
  <c r="N170" i="4"/>
  <c r="N168" i="4" s="1"/>
  <c r="M170" i="4"/>
  <c r="M168" i="4" s="1"/>
  <c r="L170" i="4"/>
  <c r="P169" i="4"/>
  <c r="O169" i="4"/>
  <c r="O166" i="4"/>
  <c r="N166" i="4"/>
  <c r="M166" i="4"/>
  <c r="L166" i="4"/>
  <c r="I159" i="4"/>
  <c r="N157" i="4"/>
  <c r="N155" i="4" s="1"/>
  <c r="M157" i="4"/>
  <c r="P157" i="4" s="1"/>
  <c r="L157" i="4"/>
  <c r="P156" i="4"/>
  <c r="O156" i="4"/>
  <c r="N154" i="4"/>
  <c r="M154" i="4"/>
  <c r="L154" i="4"/>
  <c r="O154" i="4" s="1"/>
  <c r="P153" i="4"/>
  <c r="O153" i="4"/>
  <c r="P150" i="4"/>
  <c r="O150" i="4"/>
  <c r="N150" i="4"/>
  <c r="M150" i="4"/>
  <c r="L150" i="4"/>
  <c r="J148" i="4"/>
  <c r="I146" i="4"/>
  <c r="I130" i="4" s="1"/>
  <c r="K130" i="4" s="1"/>
  <c r="I145" i="4"/>
  <c r="I143" i="4" s="1"/>
  <c r="I131" i="4" s="1"/>
  <c r="K131" i="4" s="1"/>
  <c r="I144" i="4"/>
  <c r="K144" i="4" s="1"/>
  <c r="N140" i="4"/>
  <c r="N138" i="4" s="1"/>
  <c r="M140" i="4"/>
  <c r="L140" i="4"/>
  <c r="O140" i="4" s="1"/>
  <c r="P139" i="4"/>
  <c r="O139" i="4"/>
  <c r="N137" i="4"/>
  <c r="M137" i="4"/>
  <c r="L137" i="4"/>
  <c r="L135" i="4" s="1"/>
  <c r="O135" i="4" s="1"/>
  <c r="P136" i="4"/>
  <c r="O136" i="4"/>
  <c r="P133" i="4"/>
  <c r="N133" i="4"/>
  <c r="M133" i="4"/>
  <c r="L133" i="4"/>
  <c r="O133" i="4" s="1"/>
  <c r="J130" i="4"/>
  <c r="N127" i="4"/>
  <c r="N125" i="4" s="1"/>
  <c r="M127" i="4"/>
  <c r="P127" i="4" s="1"/>
  <c r="L127" i="4"/>
  <c r="O127" i="4" s="1"/>
  <c r="P126" i="4"/>
  <c r="O126" i="4"/>
  <c r="N124" i="4"/>
  <c r="M124" i="4"/>
  <c r="P124" i="4" s="1"/>
  <c r="L124" i="4"/>
  <c r="L122" i="4" s="1"/>
  <c r="O122" i="4" s="1"/>
  <c r="P123" i="4"/>
  <c r="O123" i="4"/>
  <c r="O120" i="4"/>
  <c r="N120" i="4"/>
  <c r="M120" i="4"/>
  <c r="L120" i="4"/>
  <c r="I116" i="4"/>
  <c r="K116" i="4" s="1"/>
  <c r="I115" i="4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J87" i="4" s="1"/>
  <c r="I99" i="4"/>
  <c r="I87" i="4" s="1"/>
  <c r="K87" i="4" s="1"/>
  <c r="J98" i="4"/>
  <c r="I98" i="4"/>
  <c r="I86" i="4" s="1"/>
  <c r="K86" i="4" s="1"/>
  <c r="N96" i="4"/>
  <c r="N94" i="4" s="1"/>
  <c r="M96" i="4"/>
  <c r="P96" i="4" s="1"/>
  <c r="L96" i="4"/>
  <c r="L94" i="4" s="1"/>
  <c r="O94" i="4" s="1"/>
  <c r="P95" i="4"/>
  <c r="O95" i="4"/>
  <c r="N93" i="4"/>
  <c r="N91" i="4" s="1"/>
  <c r="M93" i="4"/>
  <c r="L93" i="4"/>
  <c r="P92" i="4"/>
  <c r="O92" i="4"/>
  <c r="N89" i="4"/>
  <c r="M89" i="4"/>
  <c r="P89" i="4" s="1"/>
  <c r="L89" i="4"/>
  <c r="O89" i="4" s="1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65" i="4" s="1"/>
  <c r="J76" i="4"/>
  <c r="N74" i="4"/>
  <c r="M74" i="4"/>
  <c r="L74" i="4"/>
  <c r="O74" i="4" s="1"/>
  <c r="P73" i="4"/>
  <c r="O73" i="4"/>
  <c r="N71" i="4"/>
  <c r="N69" i="4" s="1"/>
  <c r="M71" i="4"/>
  <c r="L71" i="4"/>
  <c r="O71" i="4" s="1"/>
  <c r="P70" i="4"/>
  <c r="O70" i="4"/>
  <c r="N67" i="4"/>
  <c r="M67" i="4"/>
  <c r="P67" i="4" s="1"/>
  <c r="L67" i="4"/>
  <c r="O67" i="4" s="1"/>
  <c r="J64" i="4"/>
  <c r="N61" i="4"/>
  <c r="N59" i="4" s="1"/>
  <c r="M61" i="4"/>
  <c r="L61" i="4"/>
  <c r="O61" i="4" s="1"/>
  <c r="P60" i="4"/>
  <c r="O60" i="4"/>
  <c r="N58" i="4"/>
  <c r="N56" i="4" s="1"/>
  <c r="M58" i="4"/>
  <c r="M56" i="4" s="1"/>
  <c r="L58" i="4"/>
  <c r="L56" i="4" s="1"/>
  <c r="P57" i="4"/>
  <c r="O57" i="4"/>
  <c r="O54" i="4"/>
  <c r="N54" i="4"/>
  <c r="M54" i="4"/>
  <c r="L54" i="4"/>
  <c r="N49" i="4"/>
  <c r="N47" i="4" s="1"/>
  <c r="M49" i="4"/>
  <c r="L49" i="4"/>
  <c r="P48" i="4"/>
  <c r="O48" i="4"/>
  <c r="N46" i="4"/>
  <c r="N44" i="4" s="1"/>
  <c r="M46" i="4"/>
  <c r="L46" i="4"/>
  <c r="L44" i="4" s="1"/>
  <c r="P45" i="4"/>
  <c r="O45" i="4"/>
  <c r="N42" i="4"/>
  <c r="M42" i="4"/>
  <c r="P42" i="4" s="1"/>
  <c r="L42" i="4"/>
  <c r="O42" i="4" s="1"/>
  <c r="P36" i="4"/>
  <c r="N36" i="4"/>
  <c r="M36" i="4"/>
  <c r="P35" i="4"/>
  <c r="O35" i="4"/>
  <c r="N35" i="4"/>
  <c r="M35" i="4"/>
  <c r="L35" i="4"/>
  <c r="N34" i="4"/>
  <c r="M34" i="4"/>
  <c r="P34" i="4" s="1"/>
  <c r="N33" i="4"/>
  <c r="N30" i="4" s="1"/>
  <c r="M33" i="4"/>
  <c r="P33" i="4" s="1"/>
  <c r="N32" i="4"/>
  <c r="M32" i="4"/>
  <c r="L32" i="4"/>
  <c r="O32" i="4" s="1"/>
  <c r="N31" i="4"/>
  <c r="M30" i="4"/>
  <c r="P30" i="4" s="1"/>
  <c r="N29" i="4"/>
  <c r="N28" i="4"/>
  <c r="O25" i="4"/>
  <c r="N25" i="4"/>
  <c r="M25" i="4"/>
  <c r="M19" i="4" s="1"/>
  <c r="L25" i="4"/>
  <c r="P22" i="4"/>
  <c r="N22" i="4"/>
  <c r="M22" i="4"/>
  <c r="L22" i="4"/>
  <c r="O22" i="4" s="1"/>
  <c r="O15" i="4"/>
  <c r="N15" i="4"/>
  <c r="L15" i="4"/>
  <c r="M12" i="4"/>
  <c r="L12" i="4"/>
  <c r="O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P817" i="3"/>
  <c r="O817" i="3"/>
  <c r="P816" i="3"/>
  <c r="O816" i="3"/>
  <c r="N815" i="3"/>
  <c r="M815" i="3"/>
  <c r="P815" i="3" s="1"/>
  <c r="L815" i="3"/>
  <c r="O815" i="3" s="1"/>
  <c r="P810" i="3"/>
  <c r="O810" i="3"/>
  <c r="N810" i="3"/>
  <c r="N807" i="3" s="1"/>
  <c r="P809" i="3"/>
  <c r="O809" i="3"/>
  <c r="P808" i="3"/>
  <c r="M808" i="3"/>
  <c r="L808" i="3"/>
  <c r="O808" i="3" s="1"/>
  <c r="P807" i="3"/>
  <c r="O807" i="3"/>
  <c r="M807" i="3"/>
  <c r="L807" i="3"/>
  <c r="P806" i="3"/>
  <c r="O806" i="3"/>
  <c r="N806" i="3"/>
  <c r="N805" i="3" s="1"/>
  <c r="M806" i="3"/>
  <c r="L806" i="3"/>
  <c r="L805" i="3" s="1"/>
  <c r="O805" i="3" s="1"/>
  <c r="M805" i="3"/>
  <c r="P805" i="3" s="1"/>
  <c r="K804" i="3"/>
  <c r="J804" i="3"/>
  <c r="K802" i="3"/>
  <c r="J801" i="3"/>
  <c r="J800" i="3"/>
  <c r="J785" i="3" s="1"/>
  <c r="I800" i="3"/>
  <c r="K800" i="3" s="1"/>
  <c r="P798" i="3"/>
  <c r="O798" i="3"/>
  <c r="P797" i="3"/>
  <c r="O797" i="3"/>
  <c r="N796" i="3"/>
  <c r="M796" i="3"/>
  <c r="P796" i="3" s="1"/>
  <c r="L796" i="3"/>
  <c r="O796" i="3" s="1"/>
  <c r="P791" i="3"/>
  <c r="N791" i="3"/>
  <c r="N788" i="3" s="1"/>
  <c r="L791" i="3"/>
  <c r="L789" i="3" s="1"/>
  <c r="O789" i="3" s="1"/>
  <c r="P790" i="3"/>
  <c r="O790" i="3"/>
  <c r="P789" i="3"/>
  <c r="N789" i="3"/>
  <c r="M789" i="3"/>
  <c r="P788" i="3"/>
  <c r="M788" i="3"/>
  <c r="P787" i="3"/>
  <c r="O787" i="3"/>
  <c r="N787" i="3"/>
  <c r="M787" i="3"/>
  <c r="L787" i="3"/>
  <c r="M786" i="3"/>
  <c r="P786" i="3" s="1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N772" i="3" s="1"/>
  <c r="N770" i="3" s="1"/>
  <c r="P774" i="3"/>
  <c r="O774" i="3"/>
  <c r="M773" i="3"/>
  <c r="P773" i="3" s="1"/>
  <c r="L773" i="3"/>
  <c r="O773" i="3" s="1"/>
  <c r="P772" i="3"/>
  <c r="M772" i="3"/>
  <c r="L772" i="3"/>
  <c r="O772" i="3" s="1"/>
  <c r="P771" i="3"/>
  <c r="O771" i="3"/>
  <c r="N771" i="3"/>
  <c r="M771" i="3"/>
  <c r="M770" i="3" s="1"/>
  <c r="P770" i="3" s="1"/>
  <c r="L771" i="3"/>
  <c r="L770" i="3" s="1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N756" i="3" s="1"/>
  <c r="N754" i="3" s="1"/>
  <c r="P758" i="3"/>
  <c r="O758" i="3"/>
  <c r="M757" i="3"/>
  <c r="P757" i="3" s="1"/>
  <c r="L757" i="3"/>
  <c r="O757" i="3" s="1"/>
  <c r="P756" i="3"/>
  <c r="M756" i="3"/>
  <c r="L756" i="3"/>
  <c r="O756" i="3" s="1"/>
  <c r="P755" i="3"/>
  <c r="O755" i="3"/>
  <c r="N755" i="3"/>
  <c r="M755" i="3"/>
  <c r="M754" i="3" s="1"/>
  <c r="P754" i="3" s="1"/>
  <c r="L755" i="3"/>
  <c r="L754" i="3" s="1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N739" i="3" s="1"/>
  <c r="N737" i="3" s="1"/>
  <c r="P741" i="3"/>
  <c r="O741" i="3"/>
  <c r="M740" i="3"/>
  <c r="P740" i="3" s="1"/>
  <c r="L740" i="3"/>
  <c r="O740" i="3" s="1"/>
  <c r="P739" i="3"/>
  <c r="M739" i="3"/>
  <c r="L739" i="3"/>
  <c r="O739" i="3" s="1"/>
  <c r="P738" i="3"/>
  <c r="O738" i="3"/>
  <c r="N738" i="3"/>
  <c r="M738" i="3"/>
  <c r="M737" i="3" s="1"/>
  <c r="P737" i="3" s="1"/>
  <c r="L738" i="3"/>
  <c r="L737" i="3" s="1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L690" i="3"/>
  <c r="L688" i="3" s="1"/>
  <c r="P688" i="3"/>
  <c r="M688" i="3"/>
  <c r="P687" i="3"/>
  <c r="M687" i="3"/>
  <c r="P686" i="3"/>
  <c r="O686" i="3"/>
  <c r="N686" i="3"/>
  <c r="N685" i="3" s="1"/>
  <c r="M686" i="3"/>
  <c r="L686" i="3"/>
  <c r="M685" i="3"/>
  <c r="P685" i="3" s="1"/>
  <c r="J679" i="3"/>
  <c r="J678" i="3"/>
  <c r="I678" i="3"/>
  <c r="K678" i="3" s="1"/>
  <c r="J675" i="3"/>
  <c r="I671" i="3"/>
  <c r="K671" i="3" s="1"/>
  <c r="I670" i="3"/>
  <c r="K670" i="3" s="1"/>
  <c r="J669" i="3"/>
  <c r="I669" i="3"/>
  <c r="K672" i="3" s="1"/>
  <c r="P667" i="3"/>
  <c r="O667" i="3"/>
  <c r="P666" i="3"/>
  <c r="O666" i="3"/>
  <c r="P665" i="3"/>
  <c r="O665" i="3"/>
  <c r="N665" i="3"/>
  <c r="M665" i="3"/>
  <c r="L665" i="3"/>
  <c r="P660" i="3"/>
  <c r="N660" i="3"/>
  <c r="N657" i="3" s="1"/>
  <c r="L660" i="3"/>
  <c r="O660" i="3" s="1"/>
  <c r="P659" i="3"/>
  <c r="O659" i="3"/>
  <c r="N658" i="3"/>
  <c r="M658" i="3"/>
  <c r="P658" i="3" s="1"/>
  <c r="M657" i="3"/>
  <c r="P657" i="3" s="1"/>
  <c r="N656" i="3"/>
  <c r="M656" i="3"/>
  <c r="P656" i="3" s="1"/>
  <c r="L656" i="3"/>
  <c r="J654" i="3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P634" i="3"/>
  <c r="N634" i="3"/>
  <c r="L634" i="3"/>
  <c r="O634" i="3" s="1"/>
  <c r="P633" i="3"/>
  <c r="O633" i="3"/>
  <c r="P632" i="3"/>
  <c r="N632" i="3"/>
  <c r="M632" i="3"/>
  <c r="P631" i="3"/>
  <c r="N631" i="3"/>
  <c r="M631" i="3"/>
  <c r="O630" i="3"/>
  <c r="N630" i="3"/>
  <c r="N629" i="3" s="1"/>
  <c r="M630" i="3"/>
  <c r="M629" i="3" s="1"/>
  <c r="P629" i="3" s="1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K594" i="3" s="1"/>
  <c r="J593" i="3"/>
  <c r="I593" i="3"/>
  <c r="I592" i="3" s="1"/>
  <c r="J583" i="3"/>
  <c r="J577" i="3" s="1"/>
  <c r="J582" i="3"/>
  <c r="J576" i="3" s="1"/>
  <c r="J559" i="3" s="1"/>
  <c r="J543" i="3" s="1"/>
  <c r="I577" i="3"/>
  <c r="I576" i="3"/>
  <c r="K576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O557" i="3" s="1"/>
  <c r="P556" i="3"/>
  <c r="O556" i="3"/>
  <c r="N555" i="3"/>
  <c r="N545" i="3" s="1"/>
  <c r="M555" i="3"/>
  <c r="P555" i="3" s="1"/>
  <c r="P549" i="3"/>
  <c r="N549" i="3"/>
  <c r="N546" i="3" s="1"/>
  <c r="L549" i="3"/>
  <c r="O549" i="3" s="1"/>
  <c r="P548" i="3"/>
  <c r="O548" i="3"/>
  <c r="N547" i="3"/>
  <c r="M547" i="3"/>
  <c r="P547" i="3" s="1"/>
  <c r="M546" i="3"/>
  <c r="P546" i="3" s="1"/>
  <c r="L545" i="3"/>
  <c r="O545" i="3" s="1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O535" i="3" s="1"/>
  <c r="P534" i="3"/>
  <c r="O534" i="3"/>
  <c r="N533" i="3"/>
  <c r="M533" i="3"/>
  <c r="P533" i="3" s="1"/>
  <c r="P528" i="3"/>
  <c r="N528" i="3"/>
  <c r="L528" i="3"/>
  <c r="O528" i="3" s="1"/>
  <c r="P527" i="3"/>
  <c r="O527" i="3"/>
  <c r="P526" i="3"/>
  <c r="N526" i="3"/>
  <c r="M526" i="3"/>
  <c r="L526" i="3"/>
  <c r="O526" i="3" s="1"/>
  <c r="P525" i="3"/>
  <c r="N525" i="3"/>
  <c r="M525" i="3"/>
  <c r="P524" i="3"/>
  <c r="O524" i="3"/>
  <c r="N524" i="3"/>
  <c r="N523" i="3" s="1"/>
  <c r="M524" i="3"/>
  <c r="L524" i="3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O505" i="3"/>
  <c r="N505" i="3"/>
  <c r="M505" i="3"/>
  <c r="P505" i="3" s="1"/>
  <c r="L505" i="3"/>
  <c r="N504" i="3"/>
  <c r="M504" i="3"/>
  <c r="P504" i="3" s="1"/>
  <c r="L504" i="3"/>
  <c r="O504" i="3" s="1"/>
  <c r="N503" i="3"/>
  <c r="N502" i="3" s="1"/>
  <c r="M503" i="3"/>
  <c r="M502" i="3" s="1"/>
  <c r="P502" i="3" s="1"/>
  <c r="L503" i="3"/>
  <c r="L502" i="3" s="1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P472" i="3"/>
  <c r="N472" i="3"/>
  <c r="L472" i="3"/>
  <c r="P471" i="3"/>
  <c r="O471" i="3"/>
  <c r="N470" i="3"/>
  <c r="M470" i="3"/>
  <c r="P470" i="3" s="1"/>
  <c r="M469" i="3"/>
  <c r="P469" i="3" s="1"/>
  <c r="N468" i="3"/>
  <c r="M468" i="3"/>
  <c r="M467" i="3" s="1"/>
  <c r="P467" i="3" s="1"/>
  <c r="L468" i="3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58" i="3"/>
  <c r="P456" i="3"/>
  <c r="L456" i="3"/>
  <c r="P455" i="3"/>
  <c r="O455" i="3"/>
  <c r="P454" i="3"/>
  <c r="N454" i="3"/>
  <c r="M454" i="3"/>
  <c r="P449" i="3"/>
  <c r="N449" i="3"/>
  <c r="L449" i="3"/>
  <c r="O449" i="3" s="1"/>
  <c r="P448" i="3"/>
  <c r="O448" i="3"/>
  <c r="P447" i="3"/>
  <c r="N447" i="3"/>
  <c r="M447" i="3"/>
  <c r="N446" i="3"/>
  <c r="M446" i="3"/>
  <c r="P446" i="3" s="1"/>
  <c r="N445" i="3"/>
  <c r="N444" i="3" s="1"/>
  <c r="M445" i="3"/>
  <c r="M444" i="3" s="1"/>
  <c r="P444" i="3" s="1"/>
  <c r="L445" i="3"/>
  <c r="O445" i="3" s="1"/>
  <c r="J443" i="3"/>
  <c r="J442" i="3"/>
  <c r="I441" i="3"/>
  <c r="K441" i="3" s="1"/>
  <c r="I440" i="3"/>
  <c r="K440" i="3" s="1"/>
  <c r="I439" i="3"/>
  <c r="K439" i="3" s="1"/>
  <c r="I438" i="3"/>
  <c r="K438" i="3" s="1"/>
  <c r="I437" i="3"/>
  <c r="K437" i="3" s="1"/>
  <c r="I435" i="3"/>
  <c r="K435" i="3" s="1"/>
  <c r="J434" i="3"/>
  <c r="P431" i="3"/>
  <c r="L431" i="3"/>
  <c r="O431" i="3" s="1"/>
  <c r="P430" i="3"/>
  <c r="O430" i="3"/>
  <c r="P429" i="3"/>
  <c r="N429" i="3"/>
  <c r="M429" i="3"/>
  <c r="L429" i="3"/>
  <c r="O429" i="3" s="1"/>
  <c r="P424" i="3"/>
  <c r="N424" i="3"/>
  <c r="L424" i="3"/>
  <c r="P423" i="3"/>
  <c r="O423" i="3"/>
  <c r="P422" i="3"/>
  <c r="N422" i="3"/>
  <c r="M422" i="3"/>
  <c r="N421" i="3"/>
  <c r="M421" i="3"/>
  <c r="P421" i="3" s="1"/>
  <c r="N420" i="3"/>
  <c r="N419" i="3" s="1"/>
  <c r="M420" i="3"/>
  <c r="M419" i="3" s="1"/>
  <c r="L420" i="3"/>
  <c r="O420" i="3" s="1"/>
  <c r="J418" i="3"/>
  <c r="K413" i="3"/>
  <c r="K412" i="3"/>
  <c r="N410" i="3"/>
  <c r="N408" i="3" s="1"/>
  <c r="M410" i="3"/>
  <c r="P410" i="3" s="1"/>
  <c r="L410" i="3"/>
  <c r="L408" i="3" s="1"/>
  <c r="O408" i="3" s="1"/>
  <c r="P409" i="3"/>
  <c r="O409" i="3"/>
  <c r="N407" i="3"/>
  <c r="N405" i="3" s="1"/>
  <c r="M407" i="3"/>
  <c r="L407" i="3"/>
  <c r="P406" i="3"/>
  <c r="O406" i="3"/>
  <c r="P403" i="3"/>
  <c r="N403" i="3"/>
  <c r="M403" i="3"/>
  <c r="L403" i="3"/>
  <c r="K401" i="3"/>
  <c r="J401" i="3"/>
  <c r="I401" i="3"/>
  <c r="K400" i="3"/>
  <c r="K399" i="3"/>
  <c r="N397" i="3"/>
  <c r="N395" i="3" s="1"/>
  <c r="M397" i="3"/>
  <c r="L397" i="3"/>
  <c r="L395" i="3" s="1"/>
  <c r="O395" i="3" s="1"/>
  <c r="P396" i="3"/>
  <c r="O396" i="3"/>
  <c r="N394" i="3"/>
  <c r="N392" i="3" s="1"/>
  <c r="M394" i="3"/>
  <c r="L394" i="3"/>
  <c r="O394" i="3" s="1"/>
  <c r="P393" i="3"/>
  <c r="O393" i="3"/>
  <c r="N390" i="3"/>
  <c r="M390" i="3"/>
  <c r="L390" i="3"/>
  <c r="O390" i="3" s="1"/>
  <c r="K388" i="3"/>
  <c r="J388" i="3"/>
  <c r="I388" i="3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M353" i="3"/>
  <c r="L353" i="3"/>
  <c r="L351" i="3" s="1"/>
  <c r="P352" i="3"/>
  <c r="O352" i="3"/>
  <c r="N350" i="3"/>
  <c r="M350" i="3"/>
  <c r="L350" i="3"/>
  <c r="L348" i="3" s="1"/>
  <c r="P349" i="3"/>
  <c r="O349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M336" i="3"/>
  <c r="P336" i="3" s="1"/>
  <c r="L336" i="3"/>
  <c r="P335" i="3"/>
  <c r="O335" i="3"/>
  <c r="N333" i="3"/>
  <c r="M333" i="3"/>
  <c r="L333" i="3"/>
  <c r="P332" i="3"/>
  <c r="O332" i="3"/>
  <c r="N329" i="3"/>
  <c r="M329" i="3"/>
  <c r="P329" i="3" s="1"/>
  <c r="L329" i="3"/>
  <c r="O329" i="3" s="1"/>
  <c r="I327" i="3"/>
  <c r="I325" i="3"/>
  <c r="K325" i="3" s="1"/>
  <c r="N323" i="3"/>
  <c r="N321" i="3" s="1"/>
  <c r="M323" i="3"/>
  <c r="M321" i="3" s="1"/>
  <c r="P321" i="3" s="1"/>
  <c r="L323" i="3"/>
  <c r="P322" i="3"/>
  <c r="O322" i="3"/>
  <c r="N320" i="3"/>
  <c r="N318" i="3" s="1"/>
  <c r="M320" i="3"/>
  <c r="M318" i="3" s="1"/>
  <c r="P318" i="3" s="1"/>
  <c r="L320" i="3"/>
  <c r="O320" i="3" s="1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I297" i="3" s="1"/>
  <c r="K297" i="3" s="1"/>
  <c r="N306" i="3"/>
  <c r="N304" i="3" s="1"/>
  <c r="M306" i="3"/>
  <c r="P306" i="3" s="1"/>
  <c r="L306" i="3"/>
  <c r="P305" i="3"/>
  <c r="O305" i="3"/>
  <c r="N303" i="3"/>
  <c r="M303" i="3"/>
  <c r="L303" i="3"/>
  <c r="L301" i="3" s="1"/>
  <c r="P302" i="3"/>
  <c r="O302" i="3"/>
  <c r="P299" i="3"/>
  <c r="N299" i="3"/>
  <c r="M299" i="3"/>
  <c r="L299" i="3"/>
  <c r="O299" i="3" s="1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I287" i="3"/>
  <c r="I276" i="3" s="1"/>
  <c r="K276" i="3" s="1"/>
  <c r="N285" i="3"/>
  <c r="N283" i="3" s="1"/>
  <c r="M285" i="3"/>
  <c r="P285" i="3" s="1"/>
  <c r="L285" i="3"/>
  <c r="P284" i="3"/>
  <c r="O284" i="3"/>
  <c r="N282" i="3"/>
  <c r="N280" i="3" s="1"/>
  <c r="M282" i="3"/>
  <c r="L282" i="3"/>
  <c r="P281" i="3"/>
  <c r="O281" i="3"/>
  <c r="O278" i="3"/>
  <c r="N278" i="3"/>
  <c r="M278" i="3"/>
  <c r="L278" i="3"/>
  <c r="J276" i="3"/>
  <c r="I271" i="3"/>
  <c r="N269" i="3"/>
  <c r="N267" i="3" s="1"/>
  <c r="M269" i="3"/>
  <c r="M267" i="3" s="1"/>
  <c r="P267" i="3" s="1"/>
  <c r="L269" i="3"/>
  <c r="O269" i="3" s="1"/>
  <c r="P268" i="3"/>
  <c r="O268" i="3"/>
  <c r="N266" i="3"/>
  <c r="N264" i="3" s="1"/>
  <c r="M266" i="3"/>
  <c r="M264" i="3" s="1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J226" i="3" s="1"/>
  <c r="K247" i="3"/>
  <c r="K246" i="3"/>
  <c r="I244" i="3"/>
  <c r="K244" i="3" s="1"/>
  <c r="L242" i="3"/>
  <c r="L241" i="3"/>
  <c r="L240" i="3"/>
  <c r="L239" i="3"/>
  <c r="P238" i="3"/>
  <c r="N238" i="3"/>
  <c r="N227" i="3" s="1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L189" i="3"/>
  <c r="O189" i="3" s="1"/>
  <c r="P188" i="3"/>
  <c r="O188" i="3"/>
  <c r="N186" i="3"/>
  <c r="M186" i="3"/>
  <c r="M184" i="3" s="1"/>
  <c r="L186" i="3"/>
  <c r="P185" i="3"/>
  <c r="O185" i="3"/>
  <c r="P182" i="3"/>
  <c r="N182" i="3"/>
  <c r="M182" i="3"/>
  <c r="L182" i="3"/>
  <c r="K180" i="3"/>
  <c r="J180" i="3"/>
  <c r="J177" i="3"/>
  <c r="I176" i="3"/>
  <c r="K176" i="3" s="1"/>
  <c r="J174" i="3"/>
  <c r="N173" i="3"/>
  <c r="N171" i="3" s="1"/>
  <c r="M173" i="3"/>
  <c r="P173" i="3" s="1"/>
  <c r="L173" i="3"/>
  <c r="L171" i="3" s="1"/>
  <c r="O171" i="3" s="1"/>
  <c r="P172" i="3"/>
  <c r="O172" i="3"/>
  <c r="N170" i="3"/>
  <c r="M170" i="3"/>
  <c r="M168" i="3" s="1"/>
  <c r="L170" i="3"/>
  <c r="L168" i="3" s="1"/>
  <c r="P169" i="3"/>
  <c r="O169" i="3"/>
  <c r="P166" i="3"/>
  <c r="N166" i="3"/>
  <c r="M166" i="3"/>
  <c r="L166" i="3"/>
  <c r="O166" i="3" s="1"/>
  <c r="J164" i="3"/>
  <c r="I159" i="3"/>
  <c r="K159" i="3" s="1"/>
  <c r="N157" i="3"/>
  <c r="N155" i="3" s="1"/>
  <c r="M157" i="3"/>
  <c r="P157" i="3" s="1"/>
  <c r="L157" i="3"/>
  <c r="L155" i="3" s="1"/>
  <c r="O155" i="3" s="1"/>
  <c r="P156" i="3"/>
  <c r="O156" i="3"/>
  <c r="N154" i="3"/>
  <c r="M154" i="3"/>
  <c r="P154" i="3" s="1"/>
  <c r="L154" i="3"/>
  <c r="L152" i="3" s="1"/>
  <c r="O152" i="3" s="1"/>
  <c r="P153" i="3"/>
  <c r="O153" i="3"/>
  <c r="O150" i="3"/>
  <c r="N150" i="3"/>
  <c r="M150" i="3"/>
  <c r="P150" i="3" s="1"/>
  <c r="L150" i="3"/>
  <c r="J148" i="3"/>
  <c r="I146" i="3"/>
  <c r="I130" i="3" s="1"/>
  <c r="K130" i="3" s="1"/>
  <c r="I145" i="3"/>
  <c r="K145" i="3" s="1"/>
  <c r="I144" i="3"/>
  <c r="N140" i="3"/>
  <c r="N138" i="3" s="1"/>
  <c r="M140" i="3"/>
  <c r="P140" i="3" s="1"/>
  <c r="L140" i="3"/>
  <c r="O140" i="3" s="1"/>
  <c r="P139" i="3"/>
  <c r="O139" i="3"/>
  <c r="N137" i="3"/>
  <c r="M137" i="3"/>
  <c r="L137" i="3"/>
  <c r="O137" i="3" s="1"/>
  <c r="P136" i="3"/>
  <c r="O136" i="3"/>
  <c r="P133" i="3"/>
  <c r="O133" i="3"/>
  <c r="N133" i="3"/>
  <c r="M133" i="3"/>
  <c r="L133" i="3"/>
  <c r="J130" i="3"/>
  <c r="N127" i="3"/>
  <c r="N125" i="3" s="1"/>
  <c r="M127" i="3"/>
  <c r="P127" i="3" s="1"/>
  <c r="L127" i="3"/>
  <c r="L125" i="3" s="1"/>
  <c r="O125" i="3" s="1"/>
  <c r="P126" i="3"/>
  <c r="O126" i="3"/>
  <c r="N124" i="3"/>
  <c r="M124" i="3"/>
  <c r="L124" i="3"/>
  <c r="O124" i="3" s="1"/>
  <c r="P123" i="3"/>
  <c r="O123" i="3"/>
  <c r="O120" i="3"/>
  <c r="N120" i="3"/>
  <c r="M120" i="3"/>
  <c r="P120" i="3" s="1"/>
  <c r="L120" i="3"/>
  <c r="I116" i="3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J86" i="3" s="1"/>
  <c r="I98" i="3"/>
  <c r="N96" i="3"/>
  <c r="N94" i="3" s="1"/>
  <c r="M96" i="3"/>
  <c r="L96" i="3"/>
  <c r="O96" i="3" s="1"/>
  <c r="P95" i="3"/>
  <c r="O95" i="3"/>
  <c r="N93" i="3"/>
  <c r="M93" i="3"/>
  <c r="M91" i="3" s="1"/>
  <c r="L93" i="3"/>
  <c r="L91" i="3" s="1"/>
  <c r="P92" i="3"/>
  <c r="O92" i="3"/>
  <c r="N89" i="3"/>
  <c r="M89" i="3"/>
  <c r="L89" i="3"/>
  <c r="O89" i="3" s="1"/>
  <c r="J87" i="3"/>
  <c r="I84" i="3"/>
  <c r="K84" i="3" s="1"/>
  <c r="I83" i="3"/>
  <c r="K83" i="3" s="1"/>
  <c r="I82" i="3"/>
  <c r="K82" i="3" s="1"/>
  <c r="I81" i="3"/>
  <c r="K81" i="3" s="1"/>
  <c r="I80" i="3"/>
  <c r="I79" i="3"/>
  <c r="I78" i="3"/>
  <c r="K78" i="3" s="1"/>
  <c r="J77" i="3"/>
  <c r="J76" i="3"/>
  <c r="N74" i="3"/>
  <c r="M74" i="3"/>
  <c r="P74" i="3" s="1"/>
  <c r="L74" i="3"/>
  <c r="O74" i="3" s="1"/>
  <c r="P73" i="3"/>
  <c r="O73" i="3"/>
  <c r="N71" i="3"/>
  <c r="N69" i="3" s="1"/>
  <c r="M71" i="3"/>
  <c r="L71" i="3"/>
  <c r="L69" i="3" s="1"/>
  <c r="P70" i="3"/>
  <c r="O70" i="3"/>
  <c r="P67" i="3"/>
  <c r="O67" i="3"/>
  <c r="N67" i="3"/>
  <c r="M67" i="3"/>
  <c r="L67" i="3"/>
  <c r="J65" i="3"/>
  <c r="J64" i="3"/>
  <c r="N61" i="3"/>
  <c r="M61" i="3"/>
  <c r="L61" i="3"/>
  <c r="L59" i="3" s="1"/>
  <c r="P60" i="3"/>
  <c r="O60" i="3"/>
  <c r="N58" i="3"/>
  <c r="N56" i="3" s="1"/>
  <c r="M58" i="3"/>
  <c r="L58" i="3"/>
  <c r="L56" i="3" s="1"/>
  <c r="P57" i="3"/>
  <c r="O57" i="3"/>
  <c r="O54" i="3"/>
  <c r="N54" i="3"/>
  <c r="M54" i="3"/>
  <c r="L54" i="3"/>
  <c r="N49" i="3"/>
  <c r="M49" i="3"/>
  <c r="P49" i="3" s="1"/>
  <c r="L49" i="3"/>
  <c r="O49" i="3" s="1"/>
  <c r="P48" i="3"/>
  <c r="O48" i="3"/>
  <c r="N46" i="3"/>
  <c r="N44" i="3" s="1"/>
  <c r="M46" i="3"/>
  <c r="M44" i="3" s="1"/>
  <c r="L46" i="3"/>
  <c r="L44" i="3" s="1"/>
  <c r="P45" i="3"/>
  <c r="O45" i="3"/>
  <c r="P42" i="3"/>
  <c r="O42" i="3"/>
  <c r="N42" i="3"/>
  <c r="M42" i="3"/>
  <c r="L42" i="3"/>
  <c r="N36" i="3"/>
  <c r="M36" i="3"/>
  <c r="P36" i="3" s="1"/>
  <c r="P35" i="3"/>
  <c r="N35" i="3"/>
  <c r="M35" i="3"/>
  <c r="L35" i="3"/>
  <c r="M34" i="3"/>
  <c r="P34" i="3" s="1"/>
  <c r="P33" i="3"/>
  <c r="N33" i="3"/>
  <c r="M33" i="3"/>
  <c r="P32" i="3"/>
  <c r="O32" i="3"/>
  <c r="N32" i="3"/>
  <c r="M32" i="3"/>
  <c r="M29" i="3" s="1"/>
  <c r="L32" i="3"/>
  <c r="P31" i="3"/>
  <c r="M31" i="3"/>
  <c r="N30" i="3"/>
  <c r="M30" i="3"/>
  <c r="P30" i="3" s="1"/>
  <c r="P29" i="3"/>
  <c r="M28" i="3"/>
  <c r="P28" i="3" s="1"/>
  <c r="P25" i="3"/>
  <c r="O25" i="3"/>
  <c r="N25" i="3"/>
  <c r="M25" i="3"/>
  <c r="L25" i="3"/>
  <c r="O22" i="3"/>
  <c r="N22" i="3"/>
  <c r="N19" i="3" s="1"/>
  <c r="M22" i="3"/>
  <c r="P22" i="3" s="1"/>
  <c r="L22" i="3"/>
  <c r="L19" i="3"/>
  <c r="N15" i="3"/>
  <c r="L15" i="3"/>
  <c r="L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P817" i="2"/>
  <c r="O817" i="2"/>
  <c r="P816" i="2"/>
  <c r="O816" i="2"/>
  <c r="O815" i="2"/>
  <c r="N815" i="2"/>
  <c r="M815" i="2"/>
  <c r="P815" i="2" s="1"/>
  <c r="L815" i="2"/>
  <c r="P810" i="2"/>
  <c r="O810" i="2"/>
  <c r="N810" i="2"/>
  <c r="P809" i="2"/>
  <c r="O809" i="2"/>
  <c r="O808" i="2"/>
  <c r="M808" i="2"/>
  <c r="P808" i="2" s="1"/>
  <c r="L808" i="2"/>
  <c r="P807" i="2"/>
  <c r="M807" i="2"/>
  <c r="L807" i="2"/>
  <c r="O806" i="2"/>
  <c r="N806" i="2"/>
  <c r="M806" i="2"/>
  <c r="P806" i="2" s="1"/>
  <c r="L806" i="2"/>
  <c r="P805" i="2"/>
  <c r="M805" i="2"/>
  <c r="K804" i="2"/>
  <c r="J804" i="2"/>
  <c r="K802" i="2"/>
  <c r="J801" i="2"/>
  <c r="J800" i="2"/>
  <c r="J785" i="2" s="1"/>
  <c r="I800" i="2"/>
  <c r="K800" i="2" s="1"/>
  <c r="P798" i="2"/>
  <c r="O798" i="2"/>
  <c r="P797" i="2"/>
  <c r="O797" i="2"/>
  <c r="P796" i="2"/>
  <c r="N796" i="2"/>
  <c r="M796" i="2"/>
  <c r="L796" i="2"/>
  <c r="O796" i="2" s="1"/>
  <c r="P791" i="2"/>
  <c r="N791" i="2"/>
  <c r="L791" i="2"/>
  <c r="L788" i="2" s="1"/>
  <c r="P790" i="2"/>
  <c r="O790" i="2"/>
  <c r="N789" i="2"/>
  <c r="M789" i="2"/>
  <c r="P789" i="2" s="1"/>
  <c r="P788" i="2"/>
  <c r="N788" i="2"/>
  <c r="M788" i="2"/>
  <c r="O787" i="2"/>
  <c r="N787" i="2"/>
  <c r="M787" i="2"/>
  <c r="P787" i="2" s="1"/>
  <c r="L787" i="2"/>
  <c r="P786" i="2"/>
  <c r="N786" i="2"/>
  <c r="M786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N772" i="2" s="1"/>
  <c r="N770" i="2" s="1"/>
  <c r="P774" i="2"/>
  <c r="O774" i="2"/>
  <c r="P773" i="2"/>
  <c r="N773" i="2"/>
  <c r="M773" i="2"/>
  <c r="L773" i="2"/>
  <c r="O773" i="2" s="1"/>
  <c r="O772" i="2"/>
  <c r="M772" i="2"/>
  <c r="L772" i="2"/>
  <c r="P771" i="2"/>
  <c r="N771" i="2"/>
  <c r="M771" i="2"/>
  <c r="L771" i="2"/>
  <c r="K769" i="2"/>
  <c r="J769" i="2"/>
  <c r="P766" i="2"/>
  <c r="O766" i="2"/>
  <c r="P765" i="2"/>
  <c r="O765" i="2"/>
  <c r="P764" i="2"/>
  <c r="N764" i="2"/>
  <c r="M764" i="2"/>
  <c r="L764" i="2"/>
  <c r="O764" i="2" s="1"/>
  <c r="P759" i="2"/>
  <c r="O759" i="2"/>
  <c r="N759" i="2"/>
  <c r="N756" i="2" s="1"/>
  <c r="N754" i="2" s="1"/>
  <c r="P758" i="2"/>
  <c r="O758" i="2"/>
  <c r="P757" i="2"/>
  <c r="N757" i="2"/>
  <c r="M757" i="2"/>
  <c r="L757" i="2"/>
  <c r="O757" i="2" s="1"/>
  <c r="O756" i="2"/>
  <c r="M756" i="2"/>
  <c r="L756" i="2"/>
  <c r="P755" i="2"/>
  <c r="N755" i="2"/>
  <c r="M755" i="2"/>
  <c r="L755" i="2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N739" i="2" s="1"/>
  <c r="N737" i="2" s="1"/>
  <c r="P741" i="2"/>
  <c r="O741" i="2"/>
  <c r="P740" i="2"/>
  <c r="N740" i="2"/>
  <c r="M740" i="2"/>
  <c r="L740" i="2"/>
  <c r="O740" i="2" s="1"/>
  <c r="O739" i="2"/>
  <c r="M739" i="2"/>
  <c r="L739" i="2"/>
  <c r="P738" i="2"/>
  <c r="N738" i="2"/>
  <c r="M738" i="2"/>
  <c r="L738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P695" i="2"/>
  <c r="N695" i="2"/>
  <c r="M695" i="2"/>
  <c r="L695" i="2"/>
  <c r="O695" i="2" s="1"/>
  <c r="P690" i="2"/>
  <c r="N690" i="2"/>
  <c r="N688" i="2" s="1"/>
  <c r="L690" i="2"/>
  <c r="O690" i="2" s="1"/>
  <c r="M688" i="2"/>
  <c r="P688" i="2" s="1"/>
  <c r="P687" i="2"/>
  <c r="N687" i="2"/>
  <c r="M687" i="2"/>
  <c r="O686" i="2"/>
  <c r="N686" i="2"/>
  <c r="M686" i="2"/>
  <c r="P686" i="2" s="1"/>
  <c r="L686" i="2"/>
  <c r="P685" i="2"/>
  <c r="N685" i="2"/>
  <c r="M685" i="2"/>
  <c r="J679" i="2"/>
  <c r="J678" i="2"/>
  <c r="I678" i="2"/>
  <c r="K678" i="2" s="1"/>
  <c r="J675" i="2"/>
  <c r="J669" i="2" s="1"/>
  <c r="J654" i="2" s="1"/>
  <c r="I671" i="2"/>
  <c r="K671" i="2" s="1"/>
  <c r="I670" i="2"/>
  <c r="K670" i="2" s="1"/>
  <c r="I669" i="2"/>
  <c r="P667" i="2"/>
  <c r="O667" i="2"/>
  <c r="P666" i="2"/>
  <c r="O666" i="2"/>
  <c r="O665" i="2"/>
  <c r="N665" i="2"/>
  <c r="M665" i="2"/>
  <c r="P665" i="2" s="1"/>
  <c r="L665" i="2"/>
  <c r="P660" i="2"/>
  <c r="N660" i="2"/>
  <c r="N657" i="2" s="1"/>
  <c r="L660" i="2"/>
  <c r="O660" i="2" s="1"/>
  <c r="P659" i="2"/>
  <c r="O659" i="2"/>
  <c r="P658" i="2"/>
  <c r="N658" i="2"/>
  <c r="M658" i="2"/>
  <c r="M657" i="2"/>
  <c r="P657" i="2" s="1"/>
  <c r="P656" i="2"/>
  <c r="N656" i="2"/>
  <c r="N655" i="2" s="1"/>
  <c r="M656" i="2"/>
  <c r="L656" i="2"/>
  <c r="M655" i="2"/>
  <c r="P655" i="2" s="1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N639" i="2"/>
  <c r="M639" i="2"/>
  <c r="P639" i="2" s="1"/>
  <c r="P634" i="2"/>
  <c r="N634" i="2"/>
  <c r="L634" i="2"/>
  <c r="O634" i="2" s="1"/>
  <c r="P633" i="2"/>
  <c r="O633" i="2"/>
  <c r="P632" i="2"/>
  <c r="N632" i="2"/>
  <c r="M632" i="2"/>
  <c r="N631" i="2"/>
  <c r="M631" i="2"/>
  <c r="P631" i="2" s="1"/>
  <c r="P630" i="2"/>
  <c r="N630" i="2"/>
  <c r="N629" i="2" s="1"/>
  <c r="M630" i="2"/>
  <c r="L630" i="2"/>
  <c r="O630" i="2" s="1"/>
  <c r="M629" i="2"/>
  <c r="P629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3" i="2" s="1"/>
  <c r="J596" i="2"/>
  <c r="J595" i="2"/>
  <c r="J594" i="2"/>
  <c r="I594" i="2"/>
  <c r="K594" i="2" s="1"/>
  <c r="I593" i="2"/>
  <c r="I592" i="2" s="1"/>
  <c r="K592" i="2" s="1"/>
  <c r="J592" i="2"/>
  <c r="J583" i="2"/>
  <c r="J577" i="2" s="1"/>
  <c r="J582" i="2"/>
  <c r="I577" i="2"/>
  <c r="K577" i="2" s="1"/>
  <c r="J576" i="2"/>
  <c r="J559" i="2" s="1"/>
  <c r="J543" i="2" s="1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L555" i="2" s="1"/>
  <c r="O555" i="2" s="1"/>
  <c r="P556" i="2"/>
  <c r="O556" i="2"/>
  <c r="P555" i="2"/>
  <c r="N555" i="2"/>
  <c r="N545" i="2" s="1"/>
  <c r="M555" i="2"/>
  <c r="P549" i="2"/>
  <c r="N549" i="2"/>
  <c r="L549" i="2"/>
  <c r="P548" i="2"/>
  <c r="O548" i="2"/>
  <c r="N547" i="2"/>
  <c r="M547" i="2"/>
  <c r="P547" i="2" s="1"/>
  <c r="P546" i="2"/>
  <c r="N546" i="2"/>
  <c r="M546" i="2"/>
  <c r="O545" i="2"/>
  <c r="M545" i="2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O535" i="2" s="1"/>
  <c r="P534" i="2"/>
  <c r="O534" i="2"/>
  <c r="P533" i="2"/>
  <c r="N533" i="2"/>
  <c r="M533" i="2"/>
  <c r="P528" i="2"/>
  <c r="N528" i="2"/>
  <c r="L528" i="2"/>
  <c r="P527" i="2"/>
  <c r="O527" i="2"/>
  <c r="P526" i="2"/>
  <c r="N526" i="2"/>
  <c r="M526" i="2"/>
  <c r="P525" i="2"/>
  <c r="N525" i="2"/>
  <c r="M525" i="2"/>
  <c r="O524" i="2"/>
  <c r="N524" i="2"/>
  <c r="N523" i="2" s="1"/>
  <c r="M524" i="2"/>
  <c r="P524" i="2" s="1"/>
  <c r="L524" i="2"/>
  <c r="P523" i="2"/>
  <c r="M523" i="2"/>
  <c r="K517" i="2"/>
  <c r="J517" i="2"/>
  <c r="J501" i="2" s="1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P506" i="2"/>
  <c r="O506" i="2"/>
  <c r="O505" i="2"/>
  <c r="N505" i="2"/>
  <c r="M505" i="2"/>
  <c r="P505" i="2" s="1"/>
  <c r="L505" i="2"/>
  <c r="P504" i="2"/>
  <c r="N504" i="2"/>
  <c r="N502" i="2" s="1"/>
  <c r="M504" i="2"/>
  <c r="L504" i="2"/>
  <c r="O504" i="2" s="1"/>
  <c r="O503" i="2"/>
  <c r="N503" i="2"/>
  <c r="M503" i="2"/>
  <c r="L503" i="2"/>
  <c r="L502" i="2"/>
  <c r="O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P472" i="2"/>
  <c r="N472" i="2"/>
  <c r="L472" i="2"/>
  <c r="L470" i="2" s="1"/>
  <c r="P471" i="2"/>
  <c r="O471" i="2"/>
  <c r="M470" i="2"/>
  <c r="P470" i="2" s="1"/>
  <c r="N469" i="2"/>
  <c r="N467" i="2" s="1"/>
  <c r="M469" i="2"/>
  <c r="P469" i="2" s="1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K462" i="2" s="1"/>
  <c r="I460" i="2"/>
  <c r="K460" i="2" s="1"/>
  <c r="K458" i="2"/>
  <c r="P456" i="2"/>
  <c r="L456" i="2"/>
  <c r="P455" i="2"/>
  <c r="O455" i="2"/>
  <c r="P454" i="2"/>
  <c r="N454" i="2"/>
  <c r="M454" i="2"/>
  <c r="P449" i="2"/>
  <c r="N449" i="2"/>
  <c r="L449" i="2"/>
  <c r="O449" i="2" s="1"/>
  <c r="P448" i="2"/>
  <c r="O448" i="2"/>
  <c r="P447" i="2"/>
  <c r="N447" i="2"/>
  <c r="M447" i="2"/>
  <c r="N446" i="2"/>
  <c r="M446" i="2"/>
  <c r="P446" i="2" s="1"/>
  <c r="N445" i="2"/>
  <c r="N444" i="2" s="1"/>
  <c r="M445" i="2"/>
  <c r="P445" i="2" s="1"/>
  <c r="L445" i="2"/>
  <c r="O445" i="2" s="1"/>
  <c r="M444" i="2"/>
  <c r="P444" i="2" s="1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J434" i="2"/>
  <c r="P431" i="2"/>
  <c r="L431" i="2"/>
  <c r="P430" i="2"/>
  <c r="O430" i="2"/>
  <c r="N429" i="2"/>
  <c r="M429" i="2"/>
  <c r="P429" i="2" s="1"/>
  <c r="P424" i="2"/>
  <c r="N424" i="2"/>
  <c r="L424" i="2"/>
  <c r="O424" i="2" s="1"/>
  <c r="P423" i="2"/>
  <c r="O423" i="2"/>
  <c r="P422" i="2"/>
  <c r="N422" i="2"/>
  <c r="M422" i="2"/>
  <c r="N421" i="2"/>
  <c r="M421" i="2"/>
  <c r="P421" i="2" s="1"/>
  <c r="N420" i="2"/>
  <c r="N419" i="2" s="1"/>
  <c r="M420" i="2"/>
  <c r="L420" i="2"/>
  <c r="O420" i="2" s="1"/>
  <c r="J418" i="2"/>
  <c r="K413" i="2"/>
  <c r="K412" i="2"/>
  <c r="N410" i="2"/>
  <c r="N408" i="2" s="1"/>
  <c r="M410" i="2"/>
  <c r="P410" i="2" s="1"/>
  <c r="L410" i="2"/>
  <c r="O410" i="2" s="1"/>
  <c r="P409" i="2"/>
  <c r="O409" i="2"/>
  <c r="N407" i="2"/>
  <c r="N405" i="2" s="1"/>
  <c r="M407" i="2"/>
  <c r="L407" i="2"/>
  <c r="L405" i="2" s="1"/>
  <c r="O405" i="2" s="1"/>
  <c r="P406" i="2"/>
  <c r="O406" i="2"/>
  <c r="P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O397" i="2" s="1"/>
  <c r="P396" i="2"/>
  <c r="O396" i="2"/>
  <c r="N394" i="2"/>
  <c r="N392" i="2" s="1"/>
  <c r="M394" i="2"/>
  <c r="L394" i="2"/>
  <c r="P393" i="2"/>
  <c r="O393" i="2"/>
  <c r="N390" i="2"/>
  <c r="M390" i="2"/>
  <c r="P390" i="2" s="1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L353" i="2"/>
  <c r="L351" i="2" s="1"/>
  <c r="P352" i="2"/>
  <c r="O352" i="2"/>
  <c r="N350" i="2"/>
  <c r="N348" i="2" s="1"/>
  <c r="M350" i="2"/>
  <c r="L350" i="2"/>
  <c r="L348" i="2" s="1"/>
  <c r="P349" i="2"/>
  <c r="O349" i="2"/>
  <c r="P346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N334" i="2" s="1"/>
  <c r="M336" i="2"/>
  <c r="L336" i="2"/>
  <c r="O336" i="2" s="1"/>
  <c r="P335" i="2"/>
  <c r="O335" i="2"/>
  <c r="N333" i="2"/>
  <c r="N331" i="2" s="1"/>
  <c r="M333" i="2"/>
  <c r="L333" i="2"/>
  <c r="P332" i="2"/>
  <c r="O332" i="2"/>
  <c r="N329" i="2"/>
  <c r="M329" i="2"/>
  <c r="L329" i="2"/>
  <c r="O329" i="2" s="1"/>
  <c r="I327" i="2"/>
  <c r="I325" i="2"/>
  <c r="I314" i="2" s="1"/>
  <c r="N323" i="2"/>
  <c r="N321" i="2" s="1"/>
  <c r="M323" i="2"/>
  <c r="P323" i="2" s="1"/>
  <c r="L323" i="2"/>
  <c r="O323" i="2" s="1"/>
  <c r="P322" i="2"/>
  <c r="O322" i="2"/>
  <c r="N320" i="2"/>
  <c r="N318" i="2" s="1"/>
  <c r="M320" i="2"/>
  <c r="L320" i="2"/>
  <c r="L318" i="2" s="1"/>
  <c r="P319" i="2"/>
  <c r="O319" i="2"/>
  <c r="P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N304" i="2" s="1"/>
  <c r="M306" i="2"/>
  <c r="P306" i="2" s="1"/>
  <c r="L306" i="2"/>
  <c r="L304" i="2" s="1"/>
  <c r="O304" i="2" s="1"/>
  <c r="P305" i="2"/>
  <c r="O305" i="2"/>
  <c r="N303" i="2"/>
  <c r="M303" i="2"/>
  <c r="P303" i="2" s="1"/>
  <c r="L303" i="2"/>
  <c r="O303" i="2" s="1"/>
  <c r="P302" i="2"/>
  <c r="O302" i="2"/>
  <c r="P299" i="2"/>
  <c r="N299" i="2"/>
  <c r="M299" i="2"/>
  <c r="L299" i="2"/>
  <c r="O299" i="2" s="1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P285" i="2" s="1"/>
  <c r="L285" i="2"/>
  <c r="P284" i="2"/>
  <c r="O284" i="2"/>
  <c r="N282" i="2"/>
  <c r="M282" i="2"/>
  <c r="L282" i="2"/>
  <c r="L280" i="2" s="1"/>
  <c r="P281" i="2"/>
  <c r="O281" i="2"/>
  <c r="N278" i="2"/>
  <c r="M278" i="2"/>
  <c r="P278" i="2" s="1"/>
  <c r="L278" i="2"/>
  <c r="J276" i="2"/>
  <c r="I271" i="2"/>
  <c r="K271" i="2" s="1"/>
  <c r="N269" i="2"/>
  <c r="M269" i="2"/>
  <c r="P269" i="2" s="1"/>
  <c r="L269" i="2"/>
  <c r="O269" i="2" s="1"/>
  <c r="P268" i="2"/>
  <c r="O268" i="2"/>
  <c r="N266" i="2"/>
  <c r="N264" i="2" s="1"/>
  <c r="M266" i="2"/>
  <c r="L266" i="2"/>
  <c r="L264" i="2" s="1"/>
  <c r="P265" i="2"/>
  <c r="O265" i="2"/>
  <c r="P262" i="2"/>
  <c r="N262" i="2"/>
  <c r="M262" i="2"/>
  <c r="L262" i="2"/>
  <c r="O262" i="2" s="1"/>
  <c r="J260" i="2"/>
  <c r="K258" i="2"/>
  <c r="K257" i="2"/>
  <c r="I255" i="2"/>
  <c r="K255" i="2" s="1"/>
  <c r="L253" i="2"/>
  <c r="L252" i="2"/>
  <c r="L251" i="2"/>
  <c r="L250" i="2"/>
  <c r="P249" i="2"/>
  <c r="N249" i="2"/>
  <c r="N227" i="2" s="1"/>
  <c r="J248" i="2"/>
  <c r="K247" i="2"/>
  <c r="K246" i="2"/>
  <c r="I244" i="2"/>
  <c r="I237" i="2" s="1"/>
  <c r="L242" i="2"/>
  <c r="L241" i="2"/>
  <c r="L240" i="2"/>
  <c r="L239" i="2"/>
  <c r="P238" i="2"/>
  <c r="N238" i="2"/>
  <c r="J237" i="2"/>
  <c r="J226" i="2" s="1"/>
  <c r="J180" i="2" s="1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I190" i="2" s="1"/>
  <c r="K190" i="2" s="1"/>
  <c r="P191" i="2"/>
  <c r="L191" i="2"/>
  <c r="O191" i="2" s="1"/>
  <c r="J190" i="2"/>
  <c r="N189" i="2"/>
  <c r="N187" i="2" s="1"/>
  <c r="M189" i="2"/>
  <c r="P189" i="2" s="1"/>
  <c r="L189" i="2"/>
  <c r="L187" i="2" s="1"/>
  <c r="O187" i="2" s="1"/>
  <c r="P188" i="2"/>
  <c r="O188" i="2"/>
  <c r="N186" i="2"/>
  <c r="N184" i="2" s="1"/>
  <c r="M186" i="2"/>
  <c r="L186" i="2"/>
  <c r="P185" i="2"/>
  <c r="O185" i="2"/>
  <c r="O182" i="2"/>
  <c r="N182" i="2"/>
  <c r="M182" i="2"/>
  <c r="P182" i="2" s="1"/>
  <c r="L182" i="2"/>
  <c r="K180" i="2"/>
  <c r="J177" i="2"/>
  <c r="I176" i="2"/>
  <c r="I174" i="2" s="1"/>
  <c r="J174" i="2"/>
  <c r="J164" i="2" s="1"/>
  <c r="N173" i="2"/>
  <c r="N171" i="2" s="1"/>
  <c r="M173" i="2"/>
  <c r="P173" i="2" s="1"/>
  <c r="L173" i="2"/>
  <c r="P172" i="2"/>
  <c r="O172" i="2"/>
  <c r="N170" i="2"/>
  <c r="M170" i="2"/>
  <c r="L170" i="2"/>
  <c r="L168" i="2" s="1"/>
  <c r="P169" i="2"/>
  <c r="O169" i="2"/>
  <c r="N166" i="2"/>
  <c r="M166" i="2"/>
  <c r="P166" i="2" s="1"/>
  <c r="L166" i="2"/>
  <c r="O166" i="2" s="1"/>
  <c r="I159" i="2"/>
  <c r="N157" i="2"/>
  <c r="N155" i="2" s="1"/>
  <c r="M157" i="2"/>
  <c r="M155" i="2" s="1"/>
  <c r="P155" i="2" s="1"/>
  <c r="L157" i="2"/>
  <c r="O157" i="2" s="1"/>
  <c r="P156" i="2"/>
  <c r="O156" i="2"/>
  <c r="N154" i="2"/>
  <c r="N152" i="2" s="1"/>
  <c r="M154" i="2"/>
  <c r="L154" i="2"/>
  <c r="P153" i="2"/>
  <c r="O153" i="2"/>
  <c r="O150" i="2"/>
  <c r="N150" i="2"/>
  <c r="M150" i="2"/>
  <c r="P150" i="2" s="1"/>
  <c r="L150" i="2"/>
  <c r="J148" i="2"/>
  <c r="I146" i="2"/>
  <c r="K146" i="2" s="1"/>
  <c r="I145" i="2"/>
  <c r="I143" i="2" s="1"/>
  <c r="K143" i="2" s="1"/>
  <c r="I144" i="2"/>
  <c r="N140" i="2"/>
  <c r="N138" i="2" s="1"/>
  <c r="M140" i="2"/>
  <c r="L140" i="2"/>
  <c r="O140" i="2" s="1"/>
  <c r="P139" i="2"/>
  <c r="O139" i="2"/>
  <c r="N137" i="2"/>
  <c r="N135" i="2" s="1"/>
  <c r="M137" i="2"/>
  <c r="L137" i="2"/>
  <c r="O137" i="2" s="1"/>
  <c r="P136" i="2"/>
  <c r="O136" i="2"/>
  <c r="N133" i="2"/>
  <c r="M133" i="2"/>
  <c r="L133" i="2"/>
  <c r="J130" i="2"/>
  <c r="N127" i="2"/>
  <c r="N125" i="2" s="1"/>
  <c r="M127" i="2"/>
  <c r="L127" i="2"/>
  <c r="O127" i="2" s="1"/>
  <c r="P126" i="2"/>
  <c r="O126" i="2"/>
  <c r="N124" i="2"/>
  <c r="M124" i="2"/>
  <c r="M122" i="2" s="1"/>
  <c r="P122" i="2" s="1"/>
  <c r="L124" i="2"/>
  <c r="O124" i="2" s="1"/>
  <c r="P123" i="2"/>
  <c r="O123" i="2"/>
  <c r="N120" i="2"/>
  <c r="M120" i="2"/>
  <c r="L120" i="2"/>
  <c r="O120" i="2" s="1"/>
  <c r="I116" i="2"/>
  <c r="K116" i="2" s="1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J98" i="2"/>
  <c r="I98" i="2"/>
  <c r="N96" i="2"/>
  <c r="N94" i="2" s="1"/>
  <c r="M96" i="2"/>
  <c r="M94" i="2" s="1"/>
  <c r="P94" i="2" s="1"/>
  <c r="L96" i="2"/>
  <c r="L94" i="2" s="1"/>
  <c r="O94" i="2" s="1"/>
  <c r="P95" i="2"/>
  <c r="O95" i="2"/>
  <c r="N93" i="2"/>
  <c r="M93" i="2"/>
  <c r="L93" i="2"/>
  <c r="P92" i="2"/>
  <c r="O92" i="2"/>
  <c r="P89" i="2"/>
  <c r="O89" i="2"/>
  <c r="N89" i="2"/>
  <c r="M89" i="2"/>
  <c r="L89" i="2"/>
  <c r="J86" i="2"/>
  <c r="I84" i="2"/>
  <c r="K84" i="2" s="1"/>
  <c r="I83" i="2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L71" i="2"/>
  <c r="L69" i="2" s="1"/>
  <c r="O69" i="2" s="1"/>
  <c r="P70" i="2"/>
  <c r="O70" i="2"/>
  <c r="O67" i="2"/>
  <c r="N67" i="2"/>
  <c r="M67" i="2"/>
  <c r="P67" i="2" s="1"/>
  <c r="L67" i="2"/>
  <c r="J64" i="2"/>
  <c r="N61" i="2"/>
  <c r="M61" i="2"/>
  <c r="M59" i="2" s="1"/>
  <c r="P59" i="2" s="1"/>
  <c r="L61" i="2"/>
  <c r="P60" i="2"/>
  <c r="O60" i="2"/>
  <c r="N58" i="2"/>
  <c r="N56" i="2" s="1"/>
  <c r="M58" i="2"/>
  <c r="L58" i="2"/>
  <c r="P57" i="2"/>
  <c r="O57" i="2"/>
  <c r="P54" i="2"/>
  <c r="N54" i="2"/>
  <c r="M54" i="2"/>
  <c r="L54" i="2"/>
  <c r="N49" i="2"/>
  <c r="N47" i="2" s="1"/>
  <c r="M49" i="2"/>
  <c r="P49" i="2" s="1"/>
  <c r="L49" i="2"/>
  <c r="O49" i="2" s="1"/>
  <c r="P48" i="2"/>
  <c r="O48" i="2"/>
  <c r="N46" i="2"/>
  <c r="N44" i="2" s="1"/>
  <c r="M46" i="2"/>
  <c r="L46" i="2"/>
  <c r="L44" i="2" s="1"/>
  <c r="P45" i="2"/>
  <c r="O45" i="2"/>
  <c r="O42" i="2"/>
  <c r="N42" i="2"/>
  <c r="M42" i="2"/>
  <c r="P42" i="2" s="1"/>
  <c r="L42" i="2"/>
  <c r="P36" i="2"/>
  <c r="N36" i="2"/>
  <c r="N34" i="2" s="1"/>
  <c r="M36" i="2"/>
  <c r="P35" i="2"/>
  <c r="O35" i="2"/>
  <c r="N35" i="2"/>
  <c r="M35" i="2"/>
  <c r="M34" i="2" s="1"/>
  <c r="P34" i="2" s="1"/>
  <c r="L35" i="2"/>
  <c r="N33" i="2"/>
  <c r="N30" i="2" s="1"/>
  <c r="M33" i="2"/>
  <c r="P33" i="2" s="1"/>
  <c r="N32" i="2"/>
  <c r="M32" i="2"/>
  <c r="L32" i="2"/>
  <c r="O32" i="2" s="1"/>
  <c r="N25" i="2"/>
  <c r="M25" i="2"/>
  <c r="L25" i="2"/>
  <c r="O25" i="2" s="1"/>
  <c r="P22" i="2"/>
  <c r="O22" i="2"/>
  <c r="N22" i="2"/>
  <c r="M22" i="2"/>
  <c r="L22" i="2"/>
  <c r="N19" i="2"/>
  <c r="M19" i="2"/>
  <c r="P19" i="2" s="1"/>
  <c r="L19" i="2"/>
  <c r="O19" i="2" s="1"/>
  <c r="N12" i="2"/>
  <c r="M12" i="2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N807" i="1" s="1"/>
  <c r="P809" i="1"/>
  <c r="O809" i="1"/>
  <c r="M808" i="1"/>
  <c r="P808" i="1" s="1"/>
  <c r="L808" i="1"/>
  <c r="O808" i="1" s="1"/>
  <c r="P807" i="1"/>
  <c r="M807" i="1"/>
  <c r="L807" i="1"/>
  <c r="O807" i="1" s="1"/>
  <c r="P806" i="1"/>
  <c r="O806" i="1"/>
  <c r="N806" i="1"/>
  <c r="M806" i="1"/>
  <c r="L806" i="1"/>
  <c r="L805" i="1" s="1"/>
  <c r="O805" i="1" s="1"/>
  <c r="P805" i="1"/>
  <c r="N805" i="1"/>
  <c r="M805" i="1"/>
  <c r="K804" i="1"/>
  <c r="J804" i="1"/>
  <c r="K802" i="1"/>
  <c r="J801" i="1"/>
  <c r="J800" i="1"/>
  <c r="J785" i="1" s="1"/>
  <c r="I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P791" i="1"/>
  <c r="L791" i="1"/>
  <c r="L789" i="1" s="1"/>
  <c r="P790" i="1"/>
  <c r="O790" i="1"/>
  <c r="M789" i="1"/>
  <c r="P789" i="1" s="1"/>
  <c r="P788" i="1"/>
  <c r="M788" i="1"/>
  <c r="N787" i="1"/>
  <c r="M787" i="1"/>
  <c r="L787" i="1"/>
  <c r="O787" i="1" s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P774" i="1"/>
  <c r="O774" i="1"/>
  <c r="P773" i="1"/>
  <c r="N773" i="1"/>
  <c r="M773" i="1"/>
  <c r="L773" i="1"/>
  <c r="O773" i="1" s="1"/>
  <c r="O772" i="1"/>
  <c r="N772" i="1"/>
  <c r="M772" i="1"/>
  <c r="P772" i="1" s="1"/>
  <c r="L772" i="1"/>
  <c r="P771" i="1"/>
  <c r="N771" i="1"/>
  <c r="N770" i="1" s="1"/>
  <c r="M771" i="1"/>
  <c r="L771" i="1"/>
  <c r="O771" i="1" s="1"/>
  <c r="M770" i="1"/>
  <c r="P770" i="1" s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P757" i="1"/>
  <c r="N757" i="1"/>
  <c r="M757" i="1"/>
  <c r="L757" i="1"/>
  <c r="O757" i="1" s="1"/>
  <c r="O756" i="1"/>
  <c r="N756" i="1"/>
  <c r="M756" i="1"/>
  <c r="P756" i="1" s="1"/>
  <c r="L756" i="1"/>
  <c r="P755" i="1"/>
  <c r="N755" i="1"/>
  <c r="N754" i="1" s="1"/>
  <c r="M755" i="1"/>
  <c r="L755" i="1"/>
  <c r="O755" i="1" s="1"/>
  <c r="M754" i="1"/>
  <c r="P754" i="1" s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P741" i="1"/>
  <c r="O741" i="1"/>
  <c r="P740" i="1"/>
  <c r="N740" i="1"/>
  <c r="M740" i="1"/>
  <c r="L740" i="1"/>
  <c r="O740" i="1" s="1"/>
  <c r="O739" i="1"/>
  <c r="N739" i="1"/>
  <c r="M739" i="1"/>
  <c r="P739" i="1" s="1"/>
  <c r="L739" i="1"/>
  <c r="P738" i="1"/>
  <c r="N738" i="1"/>
  <c r="N737" i="1" s="1"/>
  <c r="M738" i="1"/>
  <c r="L738" i="1"/>
  <c r="O738" i="1" s="1"/>
  <c r="M737" i="1"/>
  <c r="P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P690" i="1"/>
  <c r="L690" i="1"/>
  <c r="P688" i="1"/>
  <c r="M688" i="1"/>
  <c r="P687" i="1"/>
  <c r="M687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P660" i="1"/>
  <c r="L660" i="1"/>
  <c r="L658" i="1" s="1"/>
  <c r="P659" i="1"/>
  <c r="O659" i="1"/>
  <c r="M658" i="1"/>
  <c r="P658" i="1" s="1"/>
  <c r="P657" i="1"/>
  <c r="M657" i="1"/>
  <c r="O656" i="1"/>
  <c r="N656" i="1"/>
  <c r="M656" i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P634" i="1"/>
  <c r="L634" i="1"/>
  <c r="L632" i="1" s="1"/>
  <c r="P633" i="1"/>
  <c r="O633" i="1"/>
  <c r="M632" i="1"/>
  <c r="P632" i="1" s="1"/>
  <c r="P631" i="1"/>
  <c r="M631" i="1"/>
  <c r="O630" i="1"/>
  <c r="N630" i="1"/>
  <c r="M630" i="1"/>
  <c r="P630" i="1" s="1"/>
  <c r="L630" i="1"/>
  <c r="J627" i="1"/>
  <c r="J626" i="1"/>
  <c r="J625" i="1"/>
  <c r="J624" i="1"/>
  <c r="J623" i="1"/>
  <c r="J622" i="1"/>
  <c r="I621" i="1"/>
  <c r="K621" i="1" s="1"/>
  <c r="I620" i="1"/>
  <c r="K620" i="1" s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N555" i="1"/>
  <c r="N545" i="1" s="1"/>
  <c r="M555" i="1"/>
  <c r="P555" i="1" s="1"/>
  <c r="N554" i="1"/>
  <c r="N553" i="1"/>
  <c r="N552" i="1"/>
  <c r="N551" i="1"/>
  <c r="N550" i="1"/>
  <c r="P549" i="1"/>
  <c r="L549" i="1"/>
  <c r="P548" i="1"/>
  <c r="O548" i="1"/>
  <c r="M547" i="1"/>
  <c r="P547" i="1" s="1"/>
  <c r="P546" i="1"/>
  <c r="M546" i="1"/>
  <c r="P545" i="1"/>
  <c r="O545" i="1"/>
  <c r="M545" i="1"/>
  <c r="M544" i="1" s="1"/>
  <c r="L545" i="1"/>
  <c r="P544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I537" i="1"/>
  <c r="P535" i="1"/>
  <c r="L535" i="1"/>
  <c r="L533" i="1" s="1"/>
  <c r="O533" i="1" s="1"/>
  <c r="P534" i="1"/>
  <c r="O534" i="1"/>
  <c r="P533" i="1"/>
  <c r="N533" i="1"/>
  <c r="M533" i="1"/>
  <c r="N532" i="1"/>
  <c r="N531" i="1"/>
  <c r="N530" i="1"/>
  <c r="N529" i="1"/>
  <c r="P528" i="1"/>
  <c r="L528" i="1"/>
  <c r="P527" i="1"/>
  <c r="O527" i="1"/>
  <c r="M526" i="1"/>
  <c r="P526" i="1" s="1"/>
  <c r="M525" i="1"/>
  <c r="P524" i="1"/>
  <c r="N524" i="1"/>
  <c r="M524" i="1"/>
  <c r="L524" i="1"/>
  <c r="K517" i="1"/>
  <c r="J517" i="1"/>
  <c r="J501" i="1" s="1"/>
  <c r="K516" i="1"/>
  <c r="P514" i="1"/>
  <c r="O514" i="1"/>
  <c r="P513" i="1"/>
  <c r="O513" i="1"/>
  <c r="N512" i="1"/>
  <c r="M512" i="1"/>
  <c r="P512" i="1" s="1"/>
  <c r="L512" i="1"/>
  <c r="O512" i="1" s="1"/>
  <c r="P507" i="1"/>
  <c r="O507" i="1"/>
  <c r="N507" i="1"/>
  <c r="N504" i="1" s="1"/>
  <c r="N502" i="1" s="1"/>
  <c r="P506" i="1"/>
  <c r="O506" i="1"/>
  <c r="P505" i="1"/>
  <c r="N505" i="1"/>
  <c r="M505" i="1"/>
  <c r="L505" i="1"/>
  <c r="O505" i="1" s="1"/>
  <c r="P504" i="1"/>
  <c r="O504" i="1"/>
  <c r="M504" i="1"/>
  <c r="M502" i="1" s="1"/>
  <c r="P502" i="1" s="1"/>
  <c r="L504" i="1"/>
  <c r="P503" i="1"/>
  <c r="O503" i="1"/>
  <c r="N503" i="1"/>
  <c r="M503" i="1"/>
  <c r="L503" i="1"/>
  <c r="L502" i="1" s="1"/>
  <c r="O502" i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N477" i="1"/>
  <c r="M477" i="1"/>
  <c r="P477" i="1" s="1"/>
  <c r="N476" i="1"/>
  <c r="N475" i="1"/>
  <c r="N474" i="1"/>
  <c r="N473" i="1"/>
  <c r="P472" i="1"/>
  <c r="L472" i="1"/>
  <c r="L470" i="1" s="1"/>
  <c r="P471" i="1"/>
  <c r="O471" i="1"/>
  <c r="P470" i="1"/>
  <c r="M470" i="1"/>
  <c r="O469" i="1"/>
  <c r="M469" i="1"/>
  <c r="P469" i="1" s="1"/>
  <c r="N468" i="1"/>
  <c r="M468" i="1"/>
  <c r="M467" i="1" s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P449" i="1"/>
  <c r="L449" i="1"/>
  <c r="P448" i="1"/>
  <c r="O448" i="1"/>
  <c r="M447" i="1"/>
  <c r="P447" i="1" s="1"/>
  <c r="P446" i="1"/>
  <c r="M446" i="1"/>
  <c r="P445" i="1"/>
  <c r="O445" i="1"/>
  <c r="N445" i="1"/>
  <c r="M445" i="1"/>
  <c r="M444" i="1" s="1"/>
  <c r="P444" i="1" s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P424" i="1"/>
  <c r="L424" i="1"/>
  <c r="L422" i="1" s="1"/>
  <c r="P423" i="1"/>
  <c r="O423" i="1"/>
  <c r="P422" i="1"/>
  <c r="M422" i="1"/>
  <c r="M421" i="1"/>
  <c r="P421" i="1" s="1"/>
  <c r="N420" i="1"/>
  <c r="M420" i="1"/>
  <c r="P420" i="1" s="1"/>
  <c r="L420" i="1"/>
  <c r="O420" i="1" s="1"/>
  <c r="M419" i="1"/>
  <c r="J413" i="1"/>
  <c r="I413" i="1"/>
  <c r="K413" i="1" s="1"/>
  <c r="J412" i="1"/>
  <c r="J401" i="1" s="1"/>
  <c r="I412" i="1"/>
  <c r="K412" i="1" s="1"/>
  <c r="N410" i="1"/>
  <c r="N408" i="1" s="1"/>
  <c r="M410" i="1"/>
  <c r="M408" i="1" s="1"/>
  <c r="P408" i="1" s="1"/>
  <c r="L410" i="1"/>
  <c r="P409" i="1"/>
  <c r="O409" i="1"/>
  <c r="N407" i="1"/>
  <c r="N405" i="1" s="1"/>
  <c r="M407" i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M395" i="1" s="1"/>
  <c r="P395" i="1" s="1"/>
  <c r="L397" i="1"/>
  <c r="P396" i="1"/>
  <c r="O396" i="1"/>
  <c r="N394" i="1"/>
  <c r="N392" i="1" s="1"/>
  <c r="M394" i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L351" i="1" s="1"/>
  <c r="P352" i="1"/>
  <c r="O352" i="1"/>
  <c r="N350" i="1"/>
  <c r="N348" i="1" s="1"/>
  <c r="M350" i="1"/>
  <c r="L350" i="1"/>
  <c r="P349" i="1"/>
  <c r="O349" i="1"/>
  <c r="P346" i="1"/>
  <c r="N346" i="1"/>
  <c r="M346" i="1"/>
  <c r="L346" i="1"/>
  <c r="J343" i="1"/>
  <c r="J342" i="1"/>
  <c r="J341" i="1"/>
  <c r="J340" i="1"/>
  <c r="I340" i="1"/>
  <c r="J338" i="1"/>
  <c r="I338" i="1"/>
  <c r="N336" i="1"/>
  <c r="M336" i="1"/>
  <c r="M334" i="1" s="1"/>
  <c r="L336" i="1"/>
  <c r="P335" i="1"/>
  <c r="O335" i="1"/>
  <c r="N333" i="1"/>
  <c r="N331" i="1" s="1"/>
  <c r="M333" i="1"/>
  <c r="M331" i="1" s="1"/>
  <c r="L333" i="1"/>
  <c r="L331" i="1" s="1"/>
  <c r="P332" i="1"/>
  <c r="O332" i="1"/>
  <c r="P329" i="1"/>
  <c r="N329" i="1"/>
  <c r="M329" i="1"/>
  <c r="L329" i="1"/>
  <c r="I327" i="1"/>
  <c r="J325" i="1"/>
  <c r="J314" i="1" s="1"/>
  <c r="I325" i="1"/>
  <c r="P323" i="1"/>
  <c r="N323" i="1"/>
  <c r="N321" i="1" s="1"/>
  <c r="M323" i="1"/>
  <c r="L323" i="1"/>
  <c r="O323" i="1" s="1"/>
  <c r="P322" i="1"/>
  <c r="O322" i="1"/>
  <c r="P321" i="1"/>
  <c r="M321" i="1"/>
  <c r="P320" i="1"/>
  <c r="N320" i="1"/>
  <c r="M320" i="1"/>
  <c r="L320" i="1"/>
  <c r="L318" i="1" s="1"/>
  <c r="P319" i="1"/>
  <c r="O319" i="1"/>
  <c r="P318" i="1"/>
  <c r="M318" i="1"/>
  <c r="M317" i="1"/>
  <c r="P317" i="1" s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M304" i="1" s="1"/>
  <c r="P304" i="1" s="1"/>
  <c r="L306" i="1"/>
  <c r="O306" i="1" s="1"/>
  <c r="P305" i="1"/>
  <c r="O305" i="1"/>
  <c r="N303" i="1"/>
  <c r="N301" i="1" s="1"/>
  <c r="M303" i="1"/>
  <c r="M301" i="1" s="1"/>
  <c r="L303" i="1"/>
  <c r="P302" i="1"/>
  <c r="O302" i="1"/>
  <c r="O299" i="1"/>
  <c r="N299" i="1"/>
  <c r="M299" i="1"/>
  <c r="P299" i="1" s="1"/>
  <c r="L299" i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N285" i="1"/>
  <c r="N283" i="1" s="1"/>
  <c r="M285" i="1"/>
  <c r="P285" i="1" s="1"/>
  <c r="L285" i="1"/>
  <c r="L283" i="1" s="1"/>
  <c r="O283" i="1" s="1"/>
  <c r="P284" i="1"/>
  <c r="O284" i="1"/>
  <c r="N282" i="1"/>
  <c r="N280" i="1" s="1"/>
  <c r="M282" i="1"/>
  <c r="L282" i="1"/>
  <c r="L280" i="1" s="1"/>
  <c r="P281" i="1"/>
  <c r="O281" i="1"/>
  <c r="O278" i="1"/>
  <c r="N278" i="1"/>
  <c r="M278" i="1"/>
  <c r="P278" i="1" s="1"/>
  <c r="L278" i="1"/>
  <c r="J271" i="1"/>
  <c r="J260" i="1" s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N264" i="1" s="1"/>
  <c r="M266" i="1"/>
  <c r="M264" i="1" s="1"/>
  <c r="L266" i="1"/>
  <c r="L264" i="1" s="1"/>
  <c r="P265" i="1"/>
  <c r="O265" i="1"/>
  <c r="O262" i="1"/>
  <c r="N262" i="1"/>
  <c r="M262" i="1"/>
  <c r="P262" i="1" s="1"/>
  <c r="L262" i="1"/>
  <c r="J258" i="1"/>
  <c r="I258" i="1"/>
  <c r="K258" i="1" s="1"/>
  <c r="J257" i="1"/>
  <c r="I257" i="1"/>
  <c r="K257" i="1" s="1"/>
  <c r="J255" i="1"/>
  <c r="J248" i="1" s="1"/>
  <c r="I255" i="1"/>
  <c r="I248" i="1" s="1"/>
  <c r="K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M187" i="1" s="1"/>
  <c r="P187" i="1" s="1"/>
  <c r="L189" i="1"/>
  <c r="O189" i="1" s="1"/>
  <c r="P188" i="1"/>
  <c r="O188" i="1"/>
  <c r="N186" i="1"/>
  <c r="N184" i="1" s="1"/>
  <c r="M186" i="1"/>
  <c r="M184" i="1" s="1"/>
  <c r="L186" i="1"/>
  <c r="L184" i="1" s="1"/>
  <c r="P185" i="1"/>
  <c r="O185" i="1"/>
  <c r="N182" i="1"/>
  <c r="M182" i="1"/>
  <c r="L182" i="1"/>
  <c r="O182" i="1" s="1"/>
  <c r="J177" i="1"/>
  <c r="J176" i="1"/>
  <c r="J174" i="1" s="1"/>
  <c r="J164" i="1" s="1"/>
  <c r="I176" i="1"/>
  <c r="I174" i="1" s="1"/>
  <c r="N173" i="1"/>
  <c r="N171" i="1" s="1"/>
  <c r="M173" i="1"/>
  <c r="P173" i="1" s="1"/>
  <c r="L173" i="1"/>
  <c r="P172" i="1"/>
  <c r="O172" i="1"/>
  <c r="N170" i="1"/>
  <c r="N168" i="1" s="1"/>
  <c r="M170" i="1"/>
  <c r="M168" i="1" s="1"/>
  <c r="L170" i="1"/>
  <c r="P169" i="1"/>
  <c r="O169" i="1"/>
  <c r="N166" i="1"/>
  <c r="M166" i="1"/>
  <c r="P166" i="1" s="1"/>
  <c r="L166" i="1"/>
  <c r="O166" i="1" s="1"/>
  <c r="J159" i="1"/>
  <c r="J148" i="1" s="1"/>
  <c r="I159" i="1"/>
  <c r="I148" i="1" s="1"/>
  <c r="N157" i="1"/>
  <c r="N155" i="1" s="1"/>
  <c r="M157" i="1"/>
  <c r="P157" i="1" s="1"/>
  <c r="L157" i="1"/>
  <c r="P156" i="1"/>
  <c r="O156" i="1"/>
  <c r="N154" i="1"/>
  <c r="N152" i="1" s="1"/>
  <c r="M154" i="1"/>
  <c r="L154" i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I143" i="1" s="1"/>
  <c r="I131" i="1" s="1"/>
  <c r="J144" i="1"/>
  <c r="I144" i="1"/>
  <c r="J142" i="1"/>
  <c r="N140" i="1"/>
  <c r="M140" i="1"/>
  <c r="L140" i="1"/>
  <c r="L138" i="1" s="1"/>
  <c r="P139" i="1"/>
  <c r="O139" i="1"/>
  <c r="N137" i="1"/>
  <c r="M137" i="1"/>
  <c r="L137" i="1"/>
  <c r="L135" i="1" s="1"/>
  <c r="P136" i="1"/>
  <c r="O136" i="1"/>
  <c r="P133" i="1"/>
  <c r="N133" i="1"/>
  <c r="M133" i="1"/>
  <c r="L133" i="1"/>
  <c r="N127" i="1"/>
  <c r="N125" i="1" s="1"/>
  <c r="M127" i="1"/>
  <c r="M125" i="1" s="1"/>
  <c r="L127" i="1"/>
  <c r="L125" i="1" s="1"/>
  <c r="P126" i="1"/>
  <c r="O126" i="1"/>
  <c r="N124" i="1"/>
  <c r="M124" i="1"/>
  <c r="M122" i="1" s="1"/>
  <c r="P122" i="1" s="1"/>
  <c r="L124" i="1"/>
  <c r="P123" i="1"/>
  <c r="O123" i="1"/>
  <c r="O120" i="1"/>
  <c r="N120" i="1"/>
  <c r="M120" i="1"/>
  <c r="P120" i="1" s="1"/>
  <c r="L120" i="1"/>
  <c r="J116" i="1"/>
  <c r="I116" i="1"/>
  <c r="J115" i="1"/>
  <c r="I115" i="1"/>
  <c r="J114" i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P95" i="1"/>
  <c r="O95" i="1"/>
  <c r="N93" i="1"/>
  <c r="N91" i="1" s="1"/>
  <c r="M93" i="1"/>
  <c r="L93" i="1"/>
  <c r="P92" i="1"/>
  <c r="O92" i="1"/>
  <c r="P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M69" i="1" s="1"/>
  <c r="L71" i="1"/>
  <c r="L69" i="1" s="1"/>
  <c r="P70" i="1"/>
  <c r="O70" i="1"/>
  <c r="P67" i="1"/>
  <c r="N67" i="1"/>
  <c r="M67" i="1"/>
  <c r="L67" i="1"/>
  <c r="O67" i="1" s="1"/>
  <c r="N61" i="1"/>
  <c r="N59" i="1" s="1"/>
  <c r="M61" i="1"/>
  <c r="L61" i="1"/>
  <c r="P60" i="1"/>
  <c r="O60" i="1"/>
  <c r="N58" i="1"/>
  <c r="N56" i="1" s="1"/>
  <c r="M58" i="1"/>
  <c r="M56" i="1" s="1"/>
  <c r="L58" i="1"/>
  <c r="P57" i="1"/>
  <c r="O57" i="1"/>
  <c r="O54" i="1"/>
  <c r="N54" i="1"/>
  <c r="M54" i="1"/>
  <c r="P54" i="1" s="1"/>
  <c r="L54" i="1"/>
  <c r="N49" i="1"/>
  <c r="N47" i="1" s="1"/>
  <c r="M49" i="1"/>
  <c r="P49" i="1" s="1"/>
  <c r="L49" i="1"/>
  <c r="O49" i="1" s="1"/>
  <c r="P48" i="1"/>
  <c r="O48" i="1"/>
  <c r="N46" i="1"/>
  <c r="M46" i="1"/>
  <c r="P32" i="1" s="1"/>
  <c r="L46" i="1"/>
  <c r="P45" i="1"/>
  <c r="O45" i="1"/>
  <c r="N42" i="1"/>
  <c r="M42" i="1"/>
  <c r="P42" i="1" s="1"/>
  <c r="L42" i="1"/>
  <c r="O42" i="1" s="1"/>
  <c r="N36" i="1"/>
  <c r="M36" i="1"/>
  <c r="N35" i="1"/>
  <c r="M35" i="1"/>
  <c r="L35" i="1"/>
  <c r="P33" i="1"/>
  <c r="M33" i="1"/>
  <c r="N32" i="1"/>
  <c r="N12" i="1" s="1"/>
  <c r="M32" i="1"/>
  <c r="L32" i="1"/>
  <c r="O32" i="1" s="1"/>
  <c r="N25" i="1"/>
  <c r="M25" i="1"/>
  <c r="P25" i="1" s="1"/>
  <c r="L25" i="1"/>
  <c r="P22" i="1"/>
  <c r="O22" i="1"/>
  <c r="N22" i="1"/>
  <c r="M22" i="1"/>
  <c r="L22" i="1"/>
  <c r="M19" i="1"/>
  <c r="P19" i="1" s="1"/>
  <c r="L12" i="1"/>
  <c r="L470" i="9" l="1"/>
  <c r="O470" i="9" s="1"/>
  <c r="I522" i="8"/>
  <c r="K522" i="8" s="1"/>
  <c r="L632" i="14"/>
  <c r="O632" i="14" s="1"/>
  <c r="N30" i="15"/>
  <c r="N28" i="15" s="1"/>
  <c r="L447" i="6"/>
  <c r="O447" i="6" s="1"/>
  <c r="I443" i="13"/>
  <c r="L454" i="13"/>
  <c r="O454" i="13" s="1"/>
  <c r="L632" i="2"/>
  <c r="O632" i="2" s="1"/>
  <c r="L555" i="13"/>
  <c r="O555" i="13" s="1"/>
  <c r="I654" i="18"/>
  <c r="L658" i="12"/>
  <c r="O658" i="12" s="1"/>
  <c r="L658" i="10"/>
  <c r="O658" i="10" s="1"/>
  <c r="L447" i="19"/>
  <c r="O447" i="19" s="1"/>
  <c r="K193" i="19"/>
  <c r="L533" i="10"/>
  <c r="O533" i="10" s="1"/>
  <c r="N90" i="21"/>
  <c r="N88" i="21" s="1"/>
  <c r="M151" i="21"/>
  <c r="P151" i="21" s="1"/>
  <c r="I275" i="21"/>
  <c r="K275" i="21" s="1"/>
  <c r="N9" i="1"/>
  <c r="N15" i="1"/>
  <c r="N29" i="1"/>
  <c r="L68" i="21"/>
  <c r="N317" i="21"/>
  <c r="N315" i="21" s="1"/>
  <c r="N330" i="19"/>
  <c r="N328" i="19" s="1"/>
  <c r="J721" i="20"/>
  <c r="K721" i="20" s="1"/>
  <c r="K825" i="20"/>
  <c r="N43" i="21"/>
  <c r="N41" i="21" s="1"/>
  <c r="K824" i="21"/>
  <c r="L422" i="2"/>
  <c r="O422" i="2" s="1"/>
  <c r="L454" i="21"/>
  <c r="O454" i="21" s="1"/>
  <c r="M121" i="21"/>
  <c r="P121" i="21" s="1"/>
  <c r="L658" i="17"/>
  <c r="O658" i="17" s="1"/>
  <c r="I148" i="20"/>
  <c r="K148" i="20" s="1"/>
  <c r="I443" i="21"/>
  <c r="K443" i="21" s="1"/>
  <c r="L55" i="19"/>
  <c r="L53" i="19" s="1"/>
  <c r="K647" i="20"/>
  <c r="N167" i="21"/>
  <c r="N165" i="21" s="1"/>
  <c r="I86" i="21"/>
  <c r="K86" i="21" s="1"/>
  <c r="M330" i="19"/>
  <c r="P170" i="21"/>
  <c r="K287" i="17"/>
  <c r="L231" i="21"/>
  <c r="L217" i="21"/>
  <c r="O217" i="21" s="1"/>
  <c r="L658" i="13"/>
  <c r="O658" i="13" s="1"/>
  <c r="K822" i="21"/>
  <c r="K828" i="21"/>
  <c r="K369" i="20"/>
  <c r="N68" i="21"/>
  <c r="N66" i="21" s="1"/>
  <c r="L533" i="6"/>
  <c r="O533" i="6" s="1"/>
  <c r="N134" i="21"/>
  <c r="N132" i="21" s="1"/>
  <c r="K355" i="21"/>
  <c r="N55" i="21"/>
  <c r="K700" i="21"/>
  <c r="O58" i="21"/>
  <c r="L90" i="21"/>
  <c r="L88" i="21" s="1"/>
  <c r="L94" i="21"/>
  <c r="O94" i="21" s="1"/>
  <c r="K360" i="21"/>
  <c r="K370" i="21"/>
  <c r="I174" i="21"/>
  <c r="K174" i="21" s="1"/>
  <c r="O285" i="21"/>
  <c r="I87" i="21"/>
  <c r="K87" i="21" s="1"/>
  <c r="L125" i="21"/>
  <c r="O125" i="21" s="1"/>
  <c r="L209" i="21"/>
  <c r="O209" i="21" s="1"/>
  <c r="L304" i="21"/>
  <c r="O304" i="21" s="1"/>
  <c r="K378" i="21"/>
  <c r="K699" i="21"/>
  <c r="L151" i="21"/>
  <c r="O151" i="21" s="1"/>
  <c r="N151" i="21"/>
  <c r="N149" i="21" s="1"/>
  <c r="L330" i="21"/>
  <c r="L328" i="21" s="1"/>
  <c r="O333" i="21"/>
  <c r="N121" i="20"/>
  <c r="N119" i="20" s="1"/>
  <c r="M300" i="20"/>
  <c r="M298" i="20" s="1"/>
  <c r="L155" i="21"/>
  <c r="O155" i="21" s="1"/>
  <c r="L334" i="21"/>
  <c r="O334" i="21" s="1"/>
  <c r="K379" i="21"/>
  <c r="J722" i="21"/>
  <c r="L167" i="21"/>
  <c r="L165" i="21" s="1"/>
  <c r="I197" i="21"/>
  <c r="K197" i="21" s="1"/>
  <c r="O303" i="21"/>
  <c r="M90" i="19"/>
  <c r="M88" i="19" s="1"/>
  <c r="I112" i="20"/>
  <c r="K112" i="20" s="1"/>
  <c r="M167" i="21"/>
  <c r="M165" i="21" s="1"/>
  <c r="N183" i="21"/>
  <c r="N181" i="21" s="1"/>
  <c r="K362" i="21"/>
  <c r="L658" i="11"/>
  <c r="O658" i="11" s="1"/>
  <c r="I130" i="15"/>
  <c r="K130" i="15" s="1"/>
  <c r="M134" i="19"/>
  <c r="P134" i="19" s="1"/>
  <c r="L279" i="20"/>
  <c r="L277" i="20" s="1"/>
  <c r="I443" i="20"/>
  <c r="K443" i="20" s="1"/>
  <c r="O351" i="21"/>
  <c r="M267" i="19"/>
  <c r="P267" i="19" s="1"/>
  <c r="O690" i="19"/>
  <c r="L631" i="20"/>
  <c r="O631" i="20" s="1"/>
  <c r="N59" i="21"/>
  <c r="O59" i="21" s="1"/>
  <c r="O61" i="21"/>
  <c r="L183" i="21"/>
  <c r="L181" i="21" s="1"/>
  <c r="P186" i="21"/>
  <c r="L198" i="21"/>
  <c r="O198" i="21" s="1"/>
  <c r="N263" i="21"/>
  <c r="N261" i="21" s="1"/>
  <c r="M263" i="21"/>
  <c r="L347" i="21"/>
  <c r="L345" i="21" s="1"/>
  <c r="L546" i="15"/>
  <c r="O546" i="15" s="1"/>
  <c r="L687" i="19"/>
  <c r="O687" i="19" s="1"/>
  <c r="P285" i="20"/>
  <c r="I148" i="21"/>
  <c r="K148" i="21" s="1"/>
  <c r="M183" i="21"/>
  <c r="I190" i="21"/>
  <c r="K190" i="21" s="1"/>
  <c r="L238" i="21"/>
  <c r="O238" i="21" s="1"/>
  <c r="O266" i="21"/>
  <c r="L317" i="21"/>
  <c r="O317" i="21" s="1"/>
  <c r="O350" i="21"/>
  <c r="L55" i="21"/>
  <c r="O55" i="21" s="1"/>
  <c r="O170" i="21"/>
  <c r="O269" i="21"/>
  <c r="M318" i="21"/>
  <c r="P318" i="21" s="1"/>
  <c r="K338" i="21"/>
  <c r="N348" i="21"/>
  <c r="O348" i="21" s="1"/>
  <c r="P353" i="21"/>
  <c r="L658" i="21"/>
  <c r="O658" i="21" s="1"/>
  <c r="N26" i="21"/>
  <c r="N16" i="21" s="1"/>
  <c r="P140" i="21"/>
  <c r="O154" i="21"/>
  <c r="L171" i="21"/>
  <c r="O171" i="21" s="1"/>
  <c r="L230" i="21"/>
  <c r="N279" i="21"/>
  <c r="N277" i="21" s="1"/>
  <c r="M279" i="21"/>
  <c r="L321" i="21"/>
  <c r="O321" i="21" s="1"/>
  <c r="K340" i="21"/>
  <c r="K369" i="21"/>
  <c r="K372" i="21"/>
  <c r="N391" i="21"/>
  <c r="N389" i="21" s="1"/>
  <c r="L90" i="16"/>
  <c r="L88" i="16" s="1"/>
  <c r="L687" i="17"/>
  <c r="O687" i="17" s="1"/>
  <c r="K821" i="17"/>
  <c r="M55" i="18"/>
  <c r="M53" i="18" s="1"/>
  <c r="L230" i="19"/>
  <c r="N90" i="20"/>
  <c r="N88" i="20" s="1"/>
  <c r="L231" i="20"/>
  <c r="O641" i="20"/>
  <c r="K699" i="20"/>
  <c r="L43" i="21"/>
  <c r="L41" i="21" s="1"/>
  <c r="M23" i="21"/>
  <c r="M13" i="21" s="1"/>
  <c r="N69" i="21"/>
  <c r="P69" i="21" s="1"/>
  <c r="P71" i="21"/>
  <c r="M90" i="21"/>
  <c r="M88" i="21" s="1"/>
  <c r="P93" i="21"/>
  <c r="L121" i="21"/>
  <c r="O121" i="21" s="1"/>
  <c r="N125" i="21"/>
  <c r="K146" i="21"/>
  <c r="K224" i="21"/>
  <c r="L229" i="21"/>
  <c r="L263" i="21"/>
  <c r="M304" i="21"/>
  <c r="P304" i="21" s="1"/>
  <c r="N318" i="21"/>
  <c r="N330" i="21"/>
  <c r="P333" i="21"/>
  <c r="N347" i="21"/>
  <c r="N345" i="21" s="1"/>
  <c r="K381" i="21"/>
  <c r="O394" i="21"/>
  <c r="N404" i="21"/>
  <c r="N402" i="21" s="1"/>
  <c r="L422" i="21"/>
  <c r="O422" i="21" s="1"/>
  <c r="I442" i="21"/>
  <c r="K442" i="21" s="1"/>
  <c r="O479" i="21"/>
  <c r="L547" i="21"/>
  <c r="O547" i="21" s="1"/>
  <c r="K649" i="21"/>
  <c r="J721" i="21"/>
  <c r="L789" i="21"/>
  <c r="K823" i="21"/>
  <c r="K374" i="20"/>
  <c r="O424" i="20"/>
  <c r="L26" i="21"/>
  <c r="N53" i="21"/>
  <c r="P56" i="21"/>
  <c r="N121" i="21"/>
  <c r="N119" i="21" s="1"/>
  <c r="P137" i="21"/>
  <c r="K374" i="21"/>
  <c r="L391" i="21"/>
  <c r="L395" i="21"/>
  <c r="O395" i="21" s="1"/>
  <c r="L405" i="21"/>
  <c r="O405" i="21" s="1"/>
  <c r="O449" i="21"/>
  <c r="L469" i="21"/>
  <c r="L467" i="21" s="1"/>
  <c r="O467" i="21" s="1"/>
  <c r="O44" i="21"/>
  <c r="N263" i="19"/>
  <c r="N261" i="19" s="1"/>
  <c r="L23" i="21"/>
  <c r="O46" i="21"/>
  <c r="M26" i="21"/>
  <c r="M16" i="21" s="1"/>
  <c r="L300" i="21"/>
  <c r="L298" i="21" s="1"/>
  <c r="K309" i="21"/>
  <c r="M321" i="21"/>
  <c r="P321" i="21" s="1"/>
  <c r="L408" i="21"/>
  <c r="O408" i="21" s="1"/>
  <c r="O472" i="21"/>
  <c r="L555" i="21"/>
  <c r="O555" i="21" s="1"/>
  <c r="K647" i="21"/>
  <c r="I654" i="21"/>
  <c r="K654" i="21" s="1"/>
  <c r="K821" i="21"/>
  <c r="K827" i="21"/>
  <c r="L404" i="21"/>
  <c r="O404" i="21" s="1"/>
  <c r="O46" i="18"/>
  <c r="K359" i="19"/>
  <c r="L421" i="20"/>
  <c r="O421" i="20" s="1"/>
  <c r="L658" i="20"/>
  <c r="O658" i="20" s="1"/>
  <c r="L36" i="21"/>
  <c r="L122" i="21"/>
  <c r="O122" i="21" s="1"/>
  <c r="L134" i="21"/>
  <c r="O134" i="21" s="1"/>
  <c r="N155" i="21"/>
  <c r="O186" i="21"/>
  <c r="L228" i="21"/>
  <c r="K287" i="21"/>
  <c r="L301" i="21"/>
  <c r="O301" i="21" s="1"/>
  <c r="P351" i="21"/>
  <c r="M408" i="21"/>
  <c r="P408" i="21" s="1"/>
  <c r="J537" i="21"/>
  <c r="J522" i="21" s="1"/>
  <c r="L546" i="21"/>
  <c r="L544" i="21" s="1"/>
  <c r="O544" i="21" s="1"/>
  <c r="O634" i="21"/>
  <c r="L655" i="21"/>
  <c r="P46" i="18"/>
  <c r="P93" i="18"/>
  <c r="K372" i="19"/>
  <c r="L33" i="21"/>
  <c r="P49" i="21"/>
  <c r="M134" i="21"/>
  <c r="P134" i="21" s="1"/>
  <c r="L187" i="21"/>
  <c r="O187" i="21" s="1"/>
  <c r="I260" i="21"/>
  <c r="K260" i="21" s="1"/>
  <c r="L318" i="21"/>
  <c r="O318" i="21" s="1"/>
  <c r="M317" i="21"/>
  <c r="O353" i="21"/>
  <c r="K385" i="21"/>
  <c r="K537" i="21"/>
  <c r="K577" i="21"/>
  <c r="O632" i="21"/>
  <c r="K628" i="21"/>
  <c r="K825" i="21"/>
  <c r="P19" i="21"/>
  <c r="P29" i="21"/>
  <c r="O19" i="21"/>
  <c r="N279" i="19"/>
  <c r="N277" i="19" s="1"/>
  <c r="K649" i="19"/>
  <c r="O93" i="20"/>
  <c r="M347" i="20"/>
  <c r="M345" i="20" s="1"/>
  <c r="K360" i="20"/>
  <c r="O397" i="20"/>
  <c r="I434" i="20"/>
  <c r="I418" i="20" s="1"/>
  <c r="K418" i="20" s="1"/>
  <c r="K701" i="20"/>
  <c r="O32" i="21"/>
  <c r="L29" i="21"/>
  <c r="M43" i="21"/>
  <c r="O54" i="21"/>
  <c r="I76" i="21"/>
  <c r="I208" i="21"/>
  <c r="K208" i="21" s="1"/>
  <c r="O262" i="21"/>
  <c r="P278" i="21"/>
  <c r="M277" i="21"/>
  <c r="K288" i="21"/>
  <c r="L155" i="16"/>
  <c r="O155" i="16" s="1"/>
  <c r="L209" i="20"/>
  <c r="O209" i="20" s="1"/>
  <c r="M317" i="20"/>
  <c r="P317" i="20" s="1"/>
  <c r="L454" i="20"/>
  <c r="O454" i="20" s="1"/>
  <c r="K649" i="20"/>
  <c r="K723" i="20"/>
  <c r="N29" i="21"/>
  <c r="N28" i="21" s="1"/>
  <c r="O56" i="21"/>
  <c r="O74" i="21"/>
  <c r="L72" i="21"/>
  <c r="O72" i="21" s="1"/>
  <c r="M125" i="21"/>
  <c r="P125" i="21" s="1"/>
  <c r="P127" i="21"/>
  <c r="J143" i="21"/>
  <c r="J131" i="21" s="1"/>
  <c r="K145" i="21"/>
  <c r="I143" i="21"/>
  <c r="M264" i="21"/>
  <c r="P264" i="21" s="1"/>
  <c r="P266" i="21"/>
  <c r="I314" i="21"/>
  <c r="K314" i="21" s="1"/>
  <c r="K325" i="21"/>
  <c r="I364" i="21"/>
  <c r="K365" i="21"/>
  <c r="O12" i="21"/>
  <c r="L9" i="21"/>
  <c r="P22" i="21"/>
  <c r="P46" i="21"/>
  <c r="O49" i="21"/>
  <c r="L47" i="21"/>
  <c r="O47" i="21" s="1"/>
  <c r="P61" i="21"/>
  <c r="O150" i="21"/>
  <c r="O264" i="21"/>
  <c r="L43" i="20"/>
  <c r="L41" i="20" s="1"/>
  <c r="N43" i="20"/>
  <c r="N122" i="20"/>
  <c r="M12" i="21"/>
  <c r="M55" i="21"/>
  <c r="M68" i="21"/>
  <c r="M72" i="21"/>
  <c r="P72" i="21" s="1"/>
  <c r="O93" i="21"/>
  <c r="N91" i="21"/>
  <c r="O91" i="21" s="1"/>
  <c r="M152" i="21"/>
  <c r="P152" i="21" s="1"/>
  <c r="P154" i="21"/>
  <c r="M267" i="21"/>
  <c r="P267" i="21" s="1"/>
  <c r="P269" i="21"/>
  <c r="O282" i="21"/>
  <c r="N304" i="21"/>
  <c r="N300" i="21"/>
  <c r="L151" i="19"/>
  <c r="O151" i="19" s="1"/>
  <c r="L155" i="19"/>
  <c r="O155" i="19" s="1"/>
  <c r="K673" i="19"/>
  <c r="N167" i="20"/>
  <c r="N165" i="20" s="1"/>
  <c r="N183" i="20"/>
  <c r="N181" i="20" s="1"/>
  <c r="I190" i="20"/>
  <c r="K190" i="20" s="1"/>
  <c r="N300" i="20"/>
  <c r="N298" i="20" s="1"/>
  <c r="K359" i="20"/>
  <c r="K362" i="20"/>
  <c r="K385" i="20"/>
  <c r="K725" i="20"/>
  <c r="J722" i="20"/>
  <c r="K722" i="20" s="1"/>
  <c r="N12" i="21"/>
  <c r="N15" i="21"/>
  <c r="N23" i="21"/>
  <c r="M44" i="21"/>
  <c r="P44" i="21" s="1"/>
  <c r="P58" i="21"/>
  <c r="O120" i="21"/>
  <c r="M334" i="21"/>
  <c r="P334" i="21" s="1"/>
  <c r="P336" i="21"/>
  <c r="M330" i="21"/>
  <c r="P407" i="21"/>
  <c r="M404" i="21"/>
  <c r="P404" i="21" s="1"/>
  <c r="M405" i="21"/>
  <c r="P405" i="21" s="1"/>
  <c r="N391" i="20"/>
  <c r="N389" i="20" s="1"/>
  <c r="O25" i="21"/>
  <c r="L15" i="21"/>
  <c r="P33" i="21"/>
  <c r="M30" i="21"/>
  <c r="P30" i="21" s="1"/>
  <c r="P67" i="21"/>
  <c r="O71" i="21"/>
  <c r="L69" i="21"/>
  <c r="K79" i="21"/>
  <c r="I77" i="21"/>
  <c r="M122" i="21"/>
  <c r="P122" i="21" s="1"/>
  <c r="P124" i="21"/>
  <c r="M155" i="21"/>
  <c r="P155" i="21" s="1"/>
  <c r="P157" i="21"/>
  <c r="K255" i="21"/>
  <c r="I248" i="21"/>
  <c r="K248" i="21" s="1"/>
  <c r="N280" i="21"/>
  <c r="O280" i="21" s="1"/>
  <c r="P282" i="21"/>
  <c r="P303" i="21"/>
  <c r="M301" i="21"/>
  <c r="P301" i="21" s="1"/>
  <c r="M300" i="21"/>
  <c r="M298" i="21" s="1"/>
  <c r="P346" i="21"/>
  <c r="M91" i="21"/>
  <c r="M94" i="21"/>
  <c r="P94" i="21" s="1"/>
  <c r="P133" i="21"/>
  <c r="L135" i="21"/>
  <c r="O135" i="21" s="1"/>
  <c r="L138" i="21"/>
  <c r="O138" i="21" s="1"/>
  <c r="M168" i="21"/>
  <c r="M171" i="21"/>
  <c r="P171" i="21" s="1"/>
  <c r="M184" i="21"/>
  <c r="M187" i="21"/>
  <c r="P187" i="21" s="1"/>
  <c r="I233" i="21"/>
  <c r="K233" i="21" s="1"/>
  <c r="P285" i="21"/>
  <c r="N331" i="21"/>
  <c r="P331" i="21" s="1"/>
  <c r="P350" i="21"/>
  <c r="J364" i="21"/>
  <c r="P397" i="21"/>
  <c r="M395" i="21"/>
  <c r="P395" i="21" s="1"/>
  <c r="M419" i="21"/>
  <c r="K592" i="21"/>
  <c r="N655" i="21"/>
  <c r="K785" i="21"/>
  <c r="I112" i="21"/>
  <c r="K112" i="21" s="1"/>
  <c r="N168" i="21"/>
  <c r="O168" i="21" s="1"/>
  <c r="N184" i="21"/>
  <c r="O184" i="21" s="1"/>
  <c r="P445" i="21"/>
  <c r="M444" i="21"/>
  <c r="P444" i="21" s="1"/>
  <c r="N467" i="21"/>
  <c r="N629" i="21"/>
  <c r="N737" i="21"/>
  <c r="P394" i="21"/>
  <c r="M392" i="21"/>
  <c r="P392" i="21" s="1"/>
  <c r="I543" i="21"/>
  <c r="K543" i="21" s="1"/>
  <c r="K559" i="21"/>
  <c r="O791" i="21"/>
  <c r="N788" i="21"/>
  <c r="O788" i="21" s="1"/>
  <c r="N789" i="21"/>
  <c r="I237" i="21"/>
  <c r="L249" i="21"/>
  <c r="O249" i="21" s="1"/>
  <c r="L279" i="21"/>
  <c r="J327" i="21"/>
  <c r="K327" i="21" s="1"/>
  <c r="N419" i="21"/>
  <c r="M347" i="21"/>
  <c r="K359" i="21"/>
  <c r="M391" i="21"/>
  <c r="O403" i="21"/>
  <c r="K435" i="21"/>
  <c r="J433" i="21"/>
  <c r="J417" i="21" s="1"/>
  <c r="K417" i="21" s="1"/>
  <c r="L421" i="21"/>
  <c r="L446" i="21"/>
  <c r="P468" i="21"/>
  <c r="P503" i="21"/>
  <c r="L631" i="21"/>
  <c r="L629" i="21" s="1"/>
  <c r="O656" i="21"/>
  <c r="K674" i="21"/>
  <c r="N739" i="21"/>
  <c r="N756" i="21"/>
  <c r="N754" i="21" s="1"/>
  <c r="N772" i="21"/>
  <c r="N770" i="21" s="1"/>
  <c r="N631" i="21"/>
  <c r="K675" i="21"/>
  <c r="M786" i="21"/>
  <c r="P786" i="21" s="1"/>
  <c r="L805" i="21"/>
  <c r="O805" i="21" s="1"/>
  <c r="N469" i="21"/>
  <c r="L502" i="21"/>
  <c r="O502" i="21" s="1"/>
  <c r="K593" i="21"/>
  <c r="M629" i="21"/>
  <c r="P629" i="21" s="1"/>
  <c r="K800" i="21"/>
  <c r="K576" i="21"/>
  <c r="K651" i="21"/>
  <c r="K672" i="21"/>
  <c r="L688" i="21"/>
  <c r="O688" i="21" s="1"/>
  <c r="I434" i="21"/>
  <c r="L525" i="21"/>
  <c r="M545" i="21"/>
  <c r="K669" i="21"/>
  <c r="L687" i="21"/>
  <c r="L547" i="18"/>
  <c r="O547" i="18" s="1"/>
  <c r="N167" i="19"/>
  <c r="N165" i="19" s="1"/>
  <c r="L55" i="20"/>
  <c r="L53" i="20" s="1"/>
  <c r="L122" i="20"/>
  <c r="O122" i="20" s="1"/>
  <c r="M267" i="20"/>
  <c r="P267" i="20" s="1"/>
  <c r="M404" i="16"/>
  <c r="P404" i="16" s="1"/>
  <c r="L301" i="18"/>
  <c r="O301" i="18" s="1"/>
  <c r="M347" i="19"/>
  <c r="M345" i="19" s="1"/>
  <c r="L392" i="19"/>
  <c r="O392" i="19" s="1"/>
  <c r="L405" i="19"/>
  <c r="O405" i="19" s="1"/>
  <c r="N151" i="20"/>
  <c r="N149" i="20" s="1"/>
  <c r="L249" i="20"/>
  <c r="O249" i="20" s="1"/>
  <c r="L317" i="20"/>
  <c r="O317" i="20" s="1"/>
  <c r="P333" i="20"/>
  <c r="P353" i="20"/>
  <c r="M405" i="20"/>
  <c r="P405" i="20" s="1"/>
  <c r="L408" i="20"/>
  <c r="O408" i="20" s="1"/>
  <c r="K827" i="20"/>
  <c r="M408" i="19"/>
  <c r="P408" i="19" s="1"/>
  <c r="L68" i="20"/>
  <c r="N68" i="20"/>
  <c r="N66" i="20" s="1"/>
  <c r="O96" i="20"/>
  <c r="P152" i="20"/>
  <c r="L229" i="20"/>
  <c r="O301" i="20"/>
  <c r="J327" i="20"/>
  <c r="K327" i="20" s="1"/>
  <c r="K378" i="20"/>
  <c r="L470" i="20"/>
  <c r="O470" i="20" s="1"/>
  <c r="L657" i="20"/>
  <c r="O657" i="20" s="1"/>
  <c r="K720" i="20"/>
  <c r="L94" i="16"/>
  <c r="O94" i="16" s="1"/>
  <c r="L72" i="18"/>
  <c r="O72" i="18" s="1"/>
  <c r="K823" i="19"/>
  <c r="M55" i="20"/>
  <c r="M53" i="20" s="1"/>
  <c r="I208" i="20"/>
  <c r="K208" i="20" s="1"/>
  <c r="L217" i="20"/>
  <c r="O217" i="20" s="1"/>
  <c r="O264" i="20"/>
  <c r="N279" i="20"/>
  <c r="L283" i="20"/>
  <c r="O283" i="20" s="1"/>
  <c r="N317" i="20"/>
  <c r="N315" i="20" s="1"/>
  <c r="P320" i="20"/>
  <c r="O333" i="20"/>
  <c r="M392" i="20"/>
  <c r="P392" i="20" s="1"/>
  <c r="I433" i="20"/>
  <c r="I417" i="20" s="1"/>
  <c r="P266" i="20"/>
  <c r="P49" i="20"/>
  <c r="M43" i="20"/>
  <c r="O127" i="20"/>
  <c r="L125" i="20"/>
  <c r="O125" i="20" s="1"/>
  <c r="L121" i="20"/>
  <c r="O121" i="20" s="1"/>
  <c r="L447" i="20"/>
  <c r="O447" i="20" s="1"/>
  <c r="L33" i="20"/>
  <c r="M167" i="18"/>
  <c r="M165" i="18" s="1"/>
  <c r="L229" i="19"/>
  <c r="O479" i="19"/>
  <c r="L477" i="19"/>
  <c r="O477" i="19" s="1"/>
  <c r="N44" i="20"/>
  <c r="O44" i="20" s="1"/>
  <c r="O46" i="20"/>
  <c r="K115" i="20"/>
  <c r="O154" i="20"/>
  <c r="L187" i="20"/>
  <c r="O187" i="20" s="1"/>
  <c r="O189" i="20"/>
  <c r="K309" i="20"/>
  <c r="O353" i="20"/>
  <c r="O791" i="20"/>
  <c r="L788" i="20"/>
  <c r="O788" i="20" s="1"/>
  <c r="M43" i="19"/>
  <c r="M41" i="19" s="1"/>
  <c r="L121" i="19"/>
  <c r="L119" i="19" s="1"/>
  <c r="O119" i="19" s="1"/>
  <c r="M138" i="19"/>
  <c r="P138" i="19" s="1"/>
  <c r="O410" i="19"/>
  <c r="L408" i="19"/>
  <c r="O408" i="19" s="1"/>
  <c r="O660" i="19"/>
  <c r="L657" i="19"/>
  <c r="O657" i="19" s="1"/>
  <c r="L47" i="20"/>
  <c r="O47" i="20" s="1"/>
  <c r="O74" i="20"/>
  <c r="L72" i="20"/>
  <c r="O72" i="20" s="1"/>
  <c r="K255" i="20"/>
  <c r="M334" i="20"/>
  <c r="P334" i="20" s="1"/>
  <c r="M408" i="20"/>
  <c r="P408" i="20" s="1"/>
  <c r="M72" i="19"/>
  <c r="P72" i="19" s="1"/>
  <c r="L231" i="19"/>
  <c r="M263" i="19"/>
  <c r="M261" i="19" s="1"/>
  <c r="M280" i="19"/>
  <c r="P280" i="19" s="1"/>
  <c r="P282" i="19"/>
  <c r="N317" i="19"/>
  <c r="N315" i="19" s="1"/>
  <c r="J364" i="19"/>
  <c r="K378" i="19"/>
  <c r="K381" i="19"/>
  <c r="M23" i="20"/>
  <c r="M13" i="20" s="1"/>
  <c r="M134" i="20"/>
  <c r="P134" i="20" s="1"/>
  <c r="P186" i="20"/>
  <c r="M184" i="20"/>
  <c r="O535" i="20"/>
  <c r="L533" i="20"/>
  <c r="O533" i="20" s="1"/>
  <c r="K540" i="20"/>
  <c r="J537" i="20"/>
  <c r="J522" i="20" s="1"/>
  <c r="K378" i="18"/>
  <c r="K381" i="18"/>
  <c r="M405" i="19"/>
  <c r="P405" i="19" s="1"/>
  <c r="M135" i="20"/>
  <c r="P135" i="20" s="1"/>
  <c r="O152" i="20"/>
  <c r="O157" i="20"/>
  <c r="L151" i="20"/>
  <c r="L149" i="20" s="1"/>
  <c r="L155" i="20"/>
  <c r="O155" i="20" s="1"/>
  <c r="K379" i="20"/>
  <c r="K672" i="20"/>
  <c r="K675" i="20"/>
  <c r="K674" i="20"/>
  <c r="P306" i="19"/>
  <c r="M304" i="19"/>
  <c r="P304" i="19" s="1"/>
  <c r="M155" i="20"/>
  <c r="P155" i="20" s="1"/>
  <c r="P157" i="20"/>
  <c r="O282" i="20"/>
  <c r="L280" i="20"/>
  <c r="O280" i="20" s="1"/>
  <c r="P303" i="20"/>
  <c r="M301" i="20"/>
  <c r="P301" i="20" s="1"/>
  <c r="P323" i="20"/>
  <c r="M321" i="20"/>
  <c r="P321" i="20" s="1"/>
  <c r="P280" i="20"/>
  <c r="K569" i="20"/>
  <c r="K651" i="20"/>
  <c r="K823" i="20"/>
  <c r="I654" i="19"/>
  <c r="K654" i="19" s="1"/>
  <c r="M72" i="20"/>
  <c r="P72" i="20" s="1"/>
  <c r="L138" i="20"/>
  <c r="O138" i="20" s="1"/>
  <c r="K204" i="20"/>
  <c r="L228" i="20"/>
  <c r="K271" i="20"/>
  <c r="L318" i="20"/>
  <c r="O318" i="20" s="1"/>
  <c r="K355" i="20"/>
  <c r="L469" i="20"/>
  <c r="L467" i="20" s="1"/>
  <c r="O479" i="20"/>
  <c r="I87" i="20"/>
  <c r="K87" i="20" s="1"/>
  <c r="M90" i="20"/>
  <c r="M138" i="20"/>
  <c r="P138" i="20" s="1"/>
  <c r="N134" i="20"/>
  <c r="N132" i="20" s="1"/>
  <c r="L171" i="20"/>
  <c r="O171" i="20" s="1"/>
  <c r="M263" i="20"/>
  <c r="M261" i="20" s="1"/>
  <c r="I276" i="20"/>
  <c r="K276" i="20" s="1"/>
  <c r="M304" i="20"/>
  <c r="P304" i="20" s="1"/>
  <c r="K338" i="20"/>
  <c r="L404" i="20"/>
  <c r="L402" i="20" s="1"/>
  <c r="O402" i="20" s="1"/>
  <c r="I442" i="20"/>
  <c r="K442" i="20" s="1"/>
  <c r="K821" i="20"/>
  <c r="L36" i="20"/>
  <c r="O36" i="20" s="1"/>
  <c r="P46" i="20"/>
  <c r="M59" i="20"/>
  <c r="P59" i="20" s="1"/>
  <c r="K111" i="20"/>
  <c r="P127" i="20"/>
  <c r="N138" i="20"/>
  <c r="L238" i="20"/>
  <c r="L230" i="20"/>
  <c r="M264" i="20"/>
  <c r="P264" i="20" s="1"/>
  <c r="P282" i="20"/>
  <c r="K325" i="20"/>
  <c r="L330" i="20"/>
  <c r="L328" i="20" s="1"/>
  <c r="K340" i="20"/>
  <c r="K370" i="20"/>
  <c r="L405" i="20"/>
  <c r="O405" i="20" s="1"/>
  <c r="N404" i="20"/>
  <c r="N402" i="20" s="1"/>
  <c r="O634" i="20"/>
  <c r="K700" i="20"/>
  <c r="K822" i="20"/>
  <c r="K828" i="20"/>
  <c r="K826" i="20"/>
  <c r="K824" i="20"/>
  <c r="N59" i="20"/>
  <c r="N26" i="20"/>
  <c r="L168" i="20"/>
  <c r="O170" i="20"/>
  <c r="L167" i="20"/>
  <c r="K174" i="20"/>
  <c r="I164" i="20"/>
  <c r="K164" i="20" s="1"/>
  <c r="I130" i="19"/>
  <c r="K130" i="19" s="1"/>
  <c r="L134" i="19"/>
  <c r="O134" i="19" s="1"/>
  <c r="M183" i="19"/>
  <c r="M181" i="19" s="1"/>
  <c r="N391" i="19"/>
  <c r="N389" i="19" s="1"/>
  <c r="K669" i="19"/>
  <c r="N69" i="20"/>
  <c r="O69" i="20" s="1"/>
  <c r="L230" i="18"/>
  <c r="N121" i="19"/>
  <c r="N119" i="19" s="1"/>
  <c r="M135" i="19"/>
  <c r="P135" i="19" s="1"/>
  <c r="P137" i="19"/>
  <c r="M151" i="19"/>
  <c r="P151" i="19" s="1"/>
  <c r="K215" i="19"/>
  <c r="M317" i="19"/>
  <c r="P317" i="19" s="1"/>
  <c r="M348" i="19"/>
  <c r="P348" i="19" s="1"/>
  <c r="M392" i="19"/>
  <c r="P392" i="19" s="1"/>
  <c r="I442" i="19"/>
  <c r="K442" i="19" s="1"/>
  <c r="K699" i="19"/>
  <c r="P89" i="20"/>
  <c r="K98" i="20"/>
  <c r="P173" i="20"/>
  <c r="M171" i="20"/>
  <c r="P171" i="20" s="1"/>
  <c r="M167" i="20"/>
  <c r="N167" i="18"/>
  <c r="N165" i="18" s="1"/>
  <c r="M47" i="19"/>
  <c r="P47" i="19" s="1"/>
  <c r="N43" i="19"/>
  <c r="N41" i="19" s="1"/>
  <c r="O15" i="20"/>
  <c r="O29" i="20"/>
  <c r="P36" i="20"/>
  <c r="M34" i="20"/>
  <c r="P34" i="20" s="1"/>
  <c r="L23" i="20"/>
  <c r="L21" i="20" s="1"/>
  <c r="I76" i="20"/>
  <c r="O137" i="20"/>
  <c r="L134" i="20"/>
  <c r="O134" i="20" s="1"/>
  <c r="L228" i="18"/>
  <c r="M267" i="18"/>
  <c r="P267" i="18" s="1"/>
  <c r="N168" i="19"/>
  <c r="O168" i="19" s="1"/>
  <c r="I174" i="19"/>
  <c r="I164" i="19" s="1"/>
  <c r="K164" i="19" s="1"/>
  <c r="K271" i="19"/>
  <c r="N300" i="19"/>
  <c r="N298" i="19" s="1"/>
  <c r="O351" i="19"/>
  <c r="L422" i="19"/>
  <c r="O422" i="19" s="1"/>
  <c r="L36" i="19"/>
  <c r="O22" i="20"/>
  <c r="L19" i="20"/>
  <c r="L12" i="20"/>
  <c r="O35" i="20"/>
  <c r="N55" i="20"/>
  <c r="L135" i="20"/>
  <c r="O135" i="20" s="1"/>
  <c r="J143" i="20"/>
  <c r="J131" i="20" s="1"/>
  <c r="I143" i="20"/>
  <c r="K145" i="20"/>
  <c r="P150" i="20"/>
  <c r="N43" i="17"/>
  <c r="N41" i="17" s="1"/>
  <c r="O264" i="19"/>
  <c r="I276" i="19"/>
  <c r="K276" i="19" s="1"/>
  <c r="P353" i="19"/>
  <c r="K385" i="19"/>
  <c r="L525" i="19"/>
  <c r="O525" i="19" s="1"/>
  <c r="M30" i="20"/>
  <c r="P30" i="20" s="1"/>
  <c r="N23" i="20"/>
  <c r="N21" i="20" s="1"/>
  <c r="P54" i="20"/>
  <c r="N56" i="20"/>
  <c r="P56" i="20" s="1"/>
  <c r="P58" i="20"/>
  <c r="P71" i="20"/>
  <c r="K244" i="20"/>
  <c r="I237" i="20"/>
  <c r="P329" i="20"/>
  <c r="O350" i="20"/>
  <c r="N347" i="20"/>
  <c r="N348" i="20"/>
  <c r="O348" i="20" s="1"/>
  <c r="J364" i="20"/>
  <c r="K365" i="20"/>
  <c r="L392" i="20"/>
  <c r="O392" i="20" s="1"/>
  <c r="O394" i="20"/>
  <c r="L391" i="20"/>
  <c r="O391" i="20" s="1"/>
  <c r="M9" i="20"/>
  <c r="P12" i="20"/>
  <c r="M15" i="20"/>
  <c r="P19" i="20"/>
  <c r="P25" i="20"/>
  <c r="M29" i="20"/>
  <c r="P32" i="20"/>
  <c r="M44" i="20"/>
  <c r="M47" i="20"/>
  <c r="P47" i="20" s="1"/>
  <c r="O58" i="20"/>
  <c r="O61" i="20"/>
  <c r="M68" i="20"/>
  <c r="L91" i="20"/>
  <c r="M94" i="20"/>
  <c r="P94" i="20" s="1"/>
  <c r="P133" i="20"/>
  <c r="P154" i="20"/>
  <c r="N168" i="20"/>
  <c r="P168" i="20" s="1"/>
  <c r="P170" i="20"/>
  <c r="K176" i="20"/>
  <c r="L183" i="20"/>
  <c r="N184" i="20"/>
  <c r="L198" i="20"/>
  <c r="O198" i="20" s="1"/>
  <c r="I233" i="20"/>
  <c r="K233" i="20" s="1"/>
  <c r="O269" i="20"/>
  <c r="M279" i="20"/>
  <c r="P316" i="20"/>
  <c r="O468" i="20"/>
  <c r="L26" i="20"/>
  <c r="K86" i="20"/>
  <c r="M183" i="20"/>
  <c r="L263" i="20"/>
  <c r="J288" i="20"/>
  <c r="J275" i="20" s="1"/>
  <c r="I275" i="20"/>
  <c r="M395" i="20"/>
  <c r="P395" i="20" s="1"/>
  <c r="P397" i="20"/>
  <c r="M391" i="20"/>
  <c r="J433" i="20"/>
  <c r="J417" i="20" s="1"/>
  <c r="K439" i="20"/>
  <c r="N504" i="20"/>
  <c r="N505" i="20"/>
  <c r="M26" i="20"/>
  <c r="L56" i="20"/>
  <c r="I77" i="20"/>
  <c r="L90" i="20"/>
  <c r="N91" i="20"/>
  <c r="P91" i="20" s="1"/>
  <c r="P93" i="20"/>
  <c r="M121" i="20"/>
  <c r="K146" i="20"/>
  <c r="O186" i="20"/>
  <c r="P189" i="20"/>
  <c r="O266" i="20"/>
  <c r="O306" i="20"/>
  <c r="O323" i="20"/>
  <c r="N330" i="20"/>
  <c r="O331" i="20"/>
  <c r="O557" i="20"/>
  <c r="L546" i="20"/>
  <c r="O546" i="20" s="1"/>
  <c r="L555" i="20"/>
  <c r="O555" i="20" s="1"/>
  <c r="O71" i="20"/>
  <c r="N263" i="20"/>
  <c r="L300" i="20"/>
  <c r="M331" i="20"/>
  <c r="P331" i="20" s="1"/>
  <c r="M330" i="20"/>
  <c r="M328" i="20" s="1"/>
  <c r="N12" i="20"/>
  <c r="P67" i="20"/>
  <c r="P124" i="20"/>
  <c r="M151" i="20"/>
  <c r="I216" i="20"/>
  <c r="K216" i="20" s="1"/>
  <c r="N227" i="20"/>
  <c r="O303" i="20"/>
  <c r="O329" i="20"/>
  <c r="P350" i="20"/>
  <c r="L351" i="20"/>
  <c r="L347" i="20"/>
  <c r="N405" i="20"/>
  <c r="O420" i="20"/>
  <c r="O524" i="20"/>
  <c r="O336" i="20"/>
  <c r="M348" i="20"/>
  <c r="N351" i="20"/>
  <c r="P351" i="20" s="1"/>
  <c r="I364" i="20"/>
  <c r="K381" i="20"/>
  <c r="M404" i="20"/>
  <c r="P404" i="20" s="1"/>
  <c r="M467" i="20"/>
  <c r="P467" i="20" s="1"/>
  <c r="L502" i="20"/>
  <c r="O502" i="20" s="1"/>
  <c r="O503" i="20"/>
  <c r="K372" i="20"/>
  <c r="N419" i="20"/>
  <c r="N467" i="20"/>
  <c r="M502" i="20"/>
  <c r="P502" i="20" s="1"/>
  <c r="N523" i="20"/>
  <c r="I522" i="20"/>
  <c r="K522" i="20" s="1"/>
  <c r="K537" i="20"/>
  <c r="P555" i="20"/>
  <c r="M545" i="20"/>
  <c r="K576" i="20"/>
  <c r="I559" i="20"/>
  <c r="N444" i="20"/>
  <c r="N502" i="20"/>
  <c r="L446" i="20"/>
  <c r="O449" i="20"/>
  <c r="P403" i="20"/>
  <c r="P419" i="20"/>
  <c r="K438" i="20"/>
  <c r="M444" i="20"/>
  <c r="P444" i="20" s="1"/>
  <c r="M523" i="20"/>
  <c r="P523" i="20" s="1"/>
  <c r="L525" i="20"/>
  <c r="O525" i="20" s="1"/>
  <c r="I628" i="20"/>
  <c r="K628" i="20" s="1"/>
  <c r="P630" i="20"/>
  <c r="K669" i="20"/>
  <c r="K673" i="20"/>
  <c r="L687" i="20"/>
  <c r="O690" i="20"/>
  <c r="M754" i="20"/>
  <c r="P754" i="20" s="1"/>
  <c r="M770" i="20"/>
  <c r="P770" i="20" s="1"/>
  <c r="L805" i="20"/>
  <c r="O805" i="20" s="1"/>
  <c r="M685" i="20"/>
  <c r="P685" i="20" s="1"/>
  <c r="K800" i="20"/>
  <c r="K593" i="20"/>
  <c r="N55" i="18"/>
  <c r="N53" i="18" s="1"/>
  <c r="N90" i="18"/>
  <c r="N88" i="18" s="1"/>
  <c r="M122" i="18"/>
  <c r="P122" i="18" s="1"/>
  <c r="N121" i="18"/>
  <c r="N119" i="18" s="1"/>
  <c r="I148" i="18"/>
  <c r="K148" i="18" s="1"/>
  <c r="M91" i="19"/>
  <c r="P91" i="19" s="1"/>
  <c r="N90" i="19"/>
  <c r="O93" i="19"/>
  <c r="K255" i="19"/>
  <c r="L404" i="19"/>
  <c r="O404" i="19" s="1"/>
  <c r="I197" i="18"/>
  <c r="K197" i="18" s="1"/>
  <c r="K338" i="18"/>
  <c r="O61" i="19"/>
  <c r="L59" i="19"/>
  <c r="O59" i="19" s="1"/>
  <c r="I77" i="19"/>
  <c r="I65" i="19" s="1"/>
  <c r="K65" i="19" s="1"/>
  <c r="K244" i="19"/>
  <c r="I233" i="19"/>
  <c r="K233" i="19" s="1"/>
  <c r="L321" i="19"/>
  <c r="O321" i="19" s="1"/>
  <c r="K80" i="19"/>
  <c r="I76" i="19"/>
  <c r="K309" i="19"/>
  <c r="I297" i="19"/>
  <c r="K297" i="19" s="1"/>
  <c r="L546" i="19"/>
  <c r="L544" i="19" s="1"/>
  <c r="O544" i="19" s="1"/>
  <c r="L547" i="19"/>
  <c r="O547" i="19" s="1"/>
  <c r="O127" i="18"/>
  <c r="O535" i="18"/>
  <c r="O690" i="18"/>
  <c r="L688" i="18"/>
  <c r="O688" i="18" s="1"/>
  <c r="M55" i="19"/>
  <c r="M53" i="19" s="1"/>
  <c r="M23" i="19"/>
  <c r="M21" i="19" s="1"/>
  <c r="L347" i="19"/>
  <c r="L345" i="19" s="1"/>
  <c r="L348" i="19"/>
  <c r="O348" i="19" s="1"/>
  <c r="M43" i="17"/>
  <c r="P127" i="18"/>
  <c r="K649" i="18"/>
  <c r="L687" i="18"/>
  <c r="O687" i="18" s="1"/>
  <c r="L94" i="19"/>
  <c r="O94" i="19" s="1"/>
  <c r="L90" i="19"/>
  <c r="L26" i="19"/>
  <c r="L24" i="19" s="1"/>
  <c r="K224" i="19"/>
  <c r="I216" i="19"/>
  <c r="K216" i="19" s="1"/>
  <c r="M264" i="19"/>
  <c r="P264" i="19" s="1"/>
  <c r="L330" i="19"/>
  <c r="L331" i="19"/>
  <c r="K537" i="19"/>
  <c r="I522" i="19"/>
  <c r="K522" i="19" s="1"/>
  <c r="O58" i="19"/>
  <c r="L23" i="19"/>
  <c r="L21" i="19" s="1"/>
  <c r="I143" i="19"/>
  <c r="P170" i="19"/>
  <c r="O186" i="19"/>
  <c r="L249" i="19"/>
  <c r="O249" i="19" s="1"/>
  <c r="J327" i="19"/>
  <c r="K327" i="19" s="1"/>
  <c r="M404" i="19"/>
  <c r="P404" i="19" s="1"/>
  <c r="J537" i="19"/>
  <c r="J522" i="19" s="1"/>
  <c r="K647" i="19"/>
  <c r="M94" i="19"/>
  <c r="P94" i="19" s="1"/>
  <c r="L238" i="19"/>
  <c r="O238" i="19" s="1"/>
  <c r="K360" i="19"/>
  <c r="I433" i="19"/>
  <c r="I417" i="19" s="1"/>
  <c r="L68" i="19"/>
  <c r="L66" i="19" s="1"/>
  <c r="K628" i="19"/>
  <c r="K651" i="19"/>
  <c r="L43" i="19"/>
  <c r="L41" i="19" s="1"/>
  <c r="L72" i="19"/>
  <c r="O72" i="19" s="1"/>
  <c r="M68" i="19"/>
  <c r="M66" i="19" s="1"/>
  <c r="I112" i="19"/>
  <c r="K112" i="19" s="1"/>
  <c r="O173" i="19"/>
  <c r="N183" i="19"/>
  <c r="N181" i="19" s="1"/>
  <c r="P189" i="19"/>
  <c r="L217" i="19"/>
  <c r="O217" i="19" s="1"/>
  <c r="O269" i="19"/>
  <c r="O306" i="19"/>
  <c r="K365" i="19"/>
  <c r="K370" i="19"/>
  <c r="O535" i="19"/>
  <c r="M90" i="17"/>
  <c r="N68" i="18"/>
  <c r="N66" i="18" s="1"/>
  <c r="M183" i="18"/>
  <c r="M181" i="18" s="1"/>
  <c r="K466" i="18"/>
  <c r="K79" i="19"/>
  <c r="P184" i="19"/>
  <c r="N280" i="19"/>
  <c r="N331" i="19"/>
  <c r="L334" i="19"/>
  <c r="O334" i="19" s="1"/>
  <c r="K362" i="19"/>
  <c r="N392" i="19"/>
  <c r="L395" i="19"/>
  <c r="O395" i="19" s="1"/>
  <c r="I434" i="19"/>
  <c r="L632" i="19"/>
  <c r="O632" i="19" s="1"/>
  <c r="N72" i="18"/>
  <c r="M152" i="18"/>
  <c r="P152" i="18" s="1"/>
  <c r="N151" i="18"/>
  <c r="N149" i="18" s="1"/>
  <c r="M168" i="18"/>
  <c r="O170" i="18"/>
  <c r="M347" i="18"/>
  <c r="M345" i="18" s="1"/>
  <c r="O91" i="19"/>
  <c r="O96" i="19"/>
  <c r="K100" i="19"/>
  <c r="L122" i="19"/>
  <c r="O122" i="19" s="1"/>
  <c r="O124" i="19"/>
  <c r="N134" i="19"/>
  <c r="N132" i="19" s="1"/>
  <c r="N151" i="19"/>
  <c r="N149" i="19" s="1"/>
  <c r="P266" i="19"/>
  <c r="L283" i="19"/>
  <c r="O283" i="19" s="1"/>
  <c r="M301" i="19"/>
  <c r="P301" i="19" s="1"/>
  <c r="L318" i="19"/>
  <c r="O318" i="19" s="1"/>
  <c r="K325" i="19"/>
  <c r="M334" i="19"/>
  <c r="P334" i="19" s="1"/>
  <c r="M351" i="19"/>
  <c r="P351" i="19" s="1"/>
  <c r="L391" i="19"/>
  <c r="O391" i="19" s="1"/>
  <c r="M395" i="19"/>
  <c r="P395" i="19" s="1"/>
  <c r="N404" i="19"/>
  <c r="N402" i="19" s="1"/>
  <c r="L469" i="19"/>
  <c r="L467" i="19" s="1"/>
  <c r="O467" i="19" s="1"/>
  <c r="J721" i="19"/>
  <c r="L229" i="16"/>
  <c r="L33" i="18"/>
  <c r="O33" i="18" s="1"/>
  <c r="L229" i="18"/>
  <c r="I443" i="18"/>
  <c r="K443" i="18" s="1"/>
  <c r="L33" i="19"/>
  <c r="O33" i="19" s="1"/>
  <c r="P46" i="19"/>
  <c r="N55" i="19"/>
  <c r="P58" i="19"/>
  <c r="L69" i="19"/>
  <c r="P93" i="19"/>
  <c r="L125" i="19"/>
  <c r="O125" i="19" s="1"/>
  <c r="O127" i="19"/>
  <c r="L167" i="19"/>
  <c r="O170" i="19"/>
  <c r="P186" i="19"/>
  <c r="L279" i="19"/>
  <c r="L300" i="19"/>
  <c r="O303" i="19"/>
  <c r="K338" i="19"/>
  <c r="J355" i="19"/>
  <c r="K355" i="19" s="1"/>
  <c r="K374" i="19"/>
  <c r="K379" i="19"/>
  <c r="M391" i="19"/>
  <c r="P391" i="19" s="1"/>
  <c r="O549" i="19"/>
  <c r="I592" i="19"/>
  <c r="K592" i="19" s="1"/>
  <c r="K821" i="19"/>
  <c r="K824" i="19"/>
  <c r="K827" i="19"/>
  <c r="L408" i="17"/>
  <c r="O408" i="17" s="1"/>
  <c r="L47" i="18"/>
  <c r="O47" i="18" s="1"/>
  <c r="P61" i="18"/>
  <c r="O71" i="18"/>
  <c r="L36" i="18"/>
  <c r="L34" i="18" s="1"/>
  <c r="O34" i="18" s="1"/>
  <c r="L152" i="19"/>
  <c r="O152" i="19" s="1"/>
  <c r="M167" i="19"/>
  <c r="L263" i="19"/>
  <c r="O266" i="19"/>
  <c r="I275" i="19"/>
  <c r="K275" i="19" s="1"/>
  <c r="M279" i="19"/>
  <c r="P279" i="19" s="1"/>
  <c r="P285" i="19"/>
  <c r="M300" i="19"/>
  <c r="L317" i="19"/>
  <c r="O317" i="19" s="1"/>
  <c r="O333" i="19"/>
  <c r="O350" i="19"/>
  <c r="I364" i="19"/>
  <c r="K369" i="19"/>
  <c r="I443" i="19"/>
  <c r="K443" i="19" s="1"/>
  <c r="M68" i="18"/>
  <c r="M26" i="19"/>
  <c r="M16" i="19" s="1"/>
  <c r="M121" i="19"/>
  <c r="P121" i="19" s="1"/>
  <c r="L183" i="19"/>
  <c r="L209" i="19"/>
  <c r="O209" i="19" s="1"/>
  <c r="P333" i="19"/>
  <c r="K340" i="19"/>
  <c r="N347" i="19"/>
  <c r="N345" i="19" s="1"/>
  <c r="P350" i="19"/>
  <c r="O353" i="19"/>
  <c r="K822" i="19"/>
  <c r="K828" i="19"/>
  <c r="O19" i="19"/>
  <c r="O12" i="19"/>
  <c r="P133" i="19"/>
  <c r="N183" i="16"/>
  <c r="N181" i="16" s="1"/>
  <c r="N263" i="16"/>
  <c r="N261" i="16" s="1"/>
  <c r="N134" i="17"/>
  <c r="N132" i="17" s="1"/>
  <c r="M26" i="18"/>
  <c r="M16" i="18" s="1"/>
  <c r="M14" i="18" s="1"/>
  <c r="L90" i="18"/>
  <c r="P137" i="18"/>
  <c r="N134" i="18"/>
  <c r="N132" i="18" s="1"/>
  <c r="L231" i="18"/>
  <c r="K355" i="18"/>
  <c r="N391" i="18"/>
  <c r="N389" i="18" s="1"/>
  <c r="O771" i="19"/>
  <c r="L770" i="19"/>
  <c r="O770" i="19" s="1"/>
  <c r="J143" i="19"/>
  <c r="J131" i="19" s="1"/>
  <c r="K144" i="19"/>
  <c r="L36" i="17"/>
  <c r="O36" i="17" s="1"/>
  <c r="M125" i="18"/>
  <c r="P125" i="18" s="1"/>
  <c r="I130" i="18"/>
  <c r="K130" i="18" s="1"/>
  <c r="L138" i="18"/>
  <c r="O138" i="18" s="1"/>
  <c r="M187" i="18"/>
  <c r="P187" i="18" s="1"/>
  <c r="M321" i="18"/>
  <c r="P321" i="18" s="1"/>
  <c r="N317" i="18"/>
  <c r="N315" i="18" s="1"/>
  <c r="N392" i="18"/>
  <c r="M404" i="18"/>
  <c r="P404" i="18" s="1"/>
  <c r="K800" i="18"/>
  <c r="K821" i="18"/>
  <c r="P33" i="19"/>
  <c r="M30" i="19"/>
  <c r="M31" i="19"/>
  <c r="P31" i="19" s="1"/>
  <c r="K87" i="19"/>
  <c r="K99" i="19"/>
  <c r="L228" i="19"/>
  <c r="O788" i="19"/>
  <c r="L786" i="19"/>
  <c r="O786" i="19" s="1"/>
  <c r="N69" i="19"/>
  <c r="P71" i="19"/>
  <c r="L43" i="17"/>
  <c r="L41" i="17" s="1"/>
  <c r="K98" i="17"/>
  <c r="L121" i="17"/>
  <c r="L119" i="17" s="1"/>
  <c r="O119" i="17" s="1"/>
  <c r="M151" i="17"/>
  <c r="P151" i="17" s="1"/>
  <c r="M44" i="18"/>
  <c r="P44" i="18" s="1"/>
  <c r="N91" i="18"/>
  <c r="O91" i="18" s="1"/>
  <c r="L94" i="18"/>
  <c r="O94" i="18" s="1"/>
  <c r="L249" i="18"/>
  <c r="O249" i="18" s="1"/>
  <c r="L267" i="18"/>
  <c r="O267" i="18" s="1"/>
  <c r="O282" i="18"/>
  <c r="O323" i="18"/>
  <c r="O25" i="19"/>
  <c r="L15" i="19"/>
  <c r="O32" i="19"/>
  <c r="L29" i="19"/>
  <c r="P184" i="17"/>
  <c r="P350" i="17"/>
  <c r="M121" i="18"/>
  <c r="L279" i="18"/>
  <c r="L277" i="18" s="1"/>
  <c r="P282" i="18"/>
  <c r="K359" i="18"/>
  <c r="K362" i="18"/>
  <c r="N404" i="18"/>
  <c r="N402" i="18" s="1"/>
  <c r="I442" i="18"/>
  <c r="K442" i="18" s="1"/>
  <c r="K822" i="18"/>
  <c r="K828" i="18"/>
  <c r="N44" i="19"/>
  <c r="O44" i="19" s="1"/>
  <c r="N23" i="19"/>
  <c r="N68" i="19"/>
  <c r="O71" i="19"/>
  <c r="I148" i="19"/>
  <c r="K148" i="19" s="1"/>
  <c r="O59" i="18"/>
  <c r="L209" i="18"/>
  <c r="O209" i="18" s="1"/>
  <c r="N279" i="18"/>
  <c r="N277" i="18" s="1"/>
  <c r="P42" i="19"/>
  <c r="N47" i="19"/>
  <c r="N26" i="19"/>
  <c r="N16" i="19" s="1"/>
  <c r="N14" i="19" s="1"/>
  <c r="P67" i="19"/>
  <c r="L198" i="19"/>
  <c r="O198" i="19" s="1"/>
  <c r="M19" i="19"/>
  <c r="O46" i="19"/>
  <c r="O49" i="19"/>
  <c r="M56" i="19"/>
  <c r="M59" i="19"/>
  <c r="P59" i="19" s="1"/>
  <c r="O89" i="19"/>
  <c r="M122" i="19"/>
  <c r="P122" i="19" s="1"/>
  <c r="M125" i="19"/>
  <c r="P125" i="19" s="1"/>
  <c r="O137" i="19"/>
  <c r="O140" i="19"/>
  <c r="M152" i="19"/>
  <c r="P152" i="19" s="1"/>
  <c r="M155" i="19"/>
  <c r="P155" i="19" s="1"/>
  <c r="O166" i="19"/>
  <c r="P173" i="19"/>
  <c r="P182" i="19"/>
  <c r="L184" i="19"/>
  <c r="O184" i="19" s="1"/>
  <c r="L187" i="19"/>
  <c r="O187" i="19" s="1"/>
  <c r="L526" i="19"/>
  <c r="O526" i="19" s="1"/>
  <c r="O528" i="19"/>
  <c r="K576" i="19"/>
  <c r="P739" i="19"/>
  <c r="M737" i="19"/>
  <c r="P737" i="19" s="1"/>
  <c r="N805" i="19"/>
  <c r="N414" i="19" s="1"/>
  <c r="N56" i="19"/>
  <c r="O56" i="19" s="1"/>
  <c r="O316" i="19"/>
  <c r="P756" i="19"/>
  <c r="M754" i="19"/>
  <c r="P754" i="19" s="1"/>
  <c r="L789" i="19"/>
  <c r="O789" i="19" s="1"/>
  <c r="O791" i="19"/>
  <c r="O807" i="19"/>
  <c r="L805" i="19"/>
  <c r="O805" i="19" s="1"/>
  <c r="M318" i="19"/>
  <c r="P318" i="19" s="1"/>
  <c r="P320" i="19"/>
  <c r="L454" i="19"/>
  <c r="O454" i="19" s="1"/>
  <c r="O456" i="19"/>
  <c r="L446" i="19"/>
  <c r="O446" i="19" s="1"/>
  <c r="J722" i="19"/>
  <c r="O738" i="19"/>
  <c r="L737" i="19"/>
  <c r="O737" i="19" s="1"/>
  <c r="N807" i="19"/>
  <c r="N808" i="19"/>
  <c r="K98" i="19"/>
  <c r="I197" i="19"/>
  <c r="K197" i="19" s="1"/>
  <c r="L429" i="19"/>
  <c r="O429" i="19" s="1"/>
  <c r="O431" i="19"/>
  <c r="L421" i="19"/>
  <c r="O421" i="19" s="1"/>
  <c r="I543" i="19"/>
  <c r="K543" i="19" s="1"/>
  <c r="K559" i="19"/>
  <c r="O755" i="19"/>
  <c r="L754" i="19"/>
  <c r="O754" i="19" s="1"/>
  <c r="P772" i="19"/>
  <c r="M770" i="19"/>
  <c r="P770" i="19" s="1"/>
  <c r="I237" i="19"/>
  <c r="M321" i="19"/>
  <c r="P321" i="19" s="1"/>
  <c r="P323" i="19"/>
  <c r="P545" i="19"/>
  <c r="M544" i="19"/>
  <c r="P544" i="19" s="1"/>
  <c r="L639" i="19"/>
  <c r="O639" i="19" s="1"/>
  <c r="O641" i="19"/>
  <c r="L631" i="19"/>
  <c r="O631" i="19" s="1"/>
  <c r="P278" i="19"/>
  <c r="L280" i="19"/>
  <c r="O280" i="19" s="1"/>
  <c r="M331" i="19"/>
  <c r="L470" i="19"/>
  <c r="O470" i="19" s="1"/>
  <c r="K674" i="19"/>
  <c r="N688" i="19"/>
  <c r="O688" i="19" s="1"/>
  <c r="K675" i="19"/>
  <c r="J288" i="19"/>
  <c r="J275" i="19" s="1"/>
  <c r="M419" i="19"/>
  <c r="J433" i="19"/>
  <c r="M629" i="19"/>
  <c r="P629" i="19" s="1"/>
  <c r="L555" i="6"/>
  <c r="O555" i="6" s="1"/>
  <c r="I443" i="7"/>
  <c r="K443" i="7" s="1"/>
  <c r="O303" i="17"/>
  <c r="M91" i="18"/>
  <c r="N138" i="18"/>
  <c r="P186" i="18"/>
  <c r="I216" i="18"/>
  <c r="K216" i="18" s="1"/>
  <c r="N263" i="18"/>
  <c r="N261" i="18" s="1"/>
  <c r="J327" i="18"/>
  <c r="K327" i="18" s="1"/>
  <c r="L347" i="18"/>
  <c r="L345" i="18" s="1"/>
  <c r="K385" i="18"/>
  <c r="I434" i="18"/>
  <c r="I418" i="18" s="1"/>
  <c r="K418" i="18" s="1"/>
  <c r="L469" i="18"/>
  <c r="O469" i="18" s="1"/>
  <c r="M47" i="17"/>
  <c r="P47" i="17" s="1"/>
  <c r="M68" i="17"/>
  <c r="M66" i="17" s="1"/>
  <c r="L477" i="17"/>
  <c r="O477" i="17" s="1"/>
  <c r="O264" i="18"/>
  <c r="L283" i="18"/>
  <c r="O283" i="18" s="1"/>
  <c r="K325" i="18"/>
  <c r="L334" i="18"/>
  <c r="O334" i="18" s="1"/>
  <c r="O353" i="18"/>
  <c r="M408" i="18"/>
  <c r="P408" i="18" s="1"/>
  <c r="K824" i="18"/>
  <c r="K827" i="18"/>
  <c r="O61" i="17"/>
  <c r="L122" i="17"/>
  <c r="O122" i="17" s="1"/>
  <c r="N43" i="18"/>
  <c r="N41" i="18" s="1"/>
  <c r="M94" i="18"/>
  <c r="P94" i="18" s="1"/>
  <c r="K193" i="18"/>
  <c r="L198" i="18"/>
  <c r="O198" i="18" s="1"/>
  <c r="M347" i="16"/>
  <c r="M345" i="16" s="1"/>
  <c r="N391" i="17"/>
  <c r="N389" i="17" s="1"/>
  <c r="L44" i="18"/>
  <c r="O44" i="18" s="1"/>
  <c r="M59" i="18"/>
  <c r="P59" i="18" s="1"/>
  <c r="L152" i="18"/>
  <c r="O152" i="18" s="1"/>
  <c r="K244" i="18"/>
  <c r="K255" i="18"/>
  <c r="M301" i="18"/>
  <c r="P301" i="18" s="1"/>
  <c r="L477" i="18"/>
  <c r="O477" i="18" s="1"/>
  <c r="O528" i="18"/>
  <c r="M392" i="17"/>
  <c r="P392" i="17" s="1"/>
  <c r="L26" i="18"/>
  <c r="L24" i="18" s="1"/>
  <c r="L238" i="18"/>
  <c r="O238" i="18" s="1"/>
  <c r="M304" i="18"/>
  <c r="P304" i="18" s="1"/>
  <c r="O331" i="18"/>
  <c r="K340" i="18"/>
  <c r="O348" i="18"/>
  <c r="K379" i="18"/>
  <c r="L392" i="18"/>
  <c r="O392" i="18" s="1"/>
  <c r="K559" i="18"/>
  <c r="I543" i="18"/>
  <c r="K543" i="18" s="1"/>
  <c r="M43" i="18"/>
  <c r="P49" i="18"/>
  <c r="N56" i="18"/>
  <c r="O56" i="18" s="1"/>
  <c r="P58" i="18"/>
  <c r="P69" i="18"/>
  <c r="P140" i="18"/>
  <c r="L151" i="18"/>
  <c r="O151" i="18" s="1"/>
  <c r="M155" i="18"/>
  <c r="P155" i="18" s="1"/>
  <c r="M171" i="18"/>
  <c r="P171" i="18" s="1"/>
  <c r="L187" i="18"/>
  <c r="O187" i="18" s="1"/>
  <c r="L304" i="18"/>
  <c r="O304" i="18" s="1"/>
  <c r="P336" i="18"/>
  <c r="L395" i="18"/>
  <c r="O395" i="18" s="1"/>
  <c r="O634" i="18"/>
  <c r="J721" i="18"/>
  <c r="K99" i="17"/>
  <c r="N263" i="17"/>
  <c r="N261" i="17" s="1"/>
  <c r="I434" i="17"/>
  <c r="K434" i="17" s="1"/>
  <c r="M23" i="18"/>
  <c r="M13" i="18" s="1"/>
  <c r="N26" i="18"/>
  <c r="M90" i="18"/>
  <c r="L134" i="18"/>
  <c r="O134" i="18" s="1"/>
  <c r="O137" i="18"/>
  <c r="I143" i="18"/>
  <c r="K143" i="18" s="1"/>
  <c r="M151" i="18"/>
  <c r="P151" i="18" s="1"/>
  <c r="L167" i="18"/>
  <c r="L165" i="18" s="1"/>
  <c r="L263" i="18"/>
  <c r="L261" i="18" s="1"/>
  <c r="M280" i="18"/>
  <c r="P280" i="18" s="1"/>
  <c r="L300" i="18"/>
  <c r="O300" i="18" s="1"/>
  <c r="L330" i="18"/>
  <c r="L328" i="18" s="1"/>
  <c r="N347" i="18"/>
  <c r="N345" i="18" s="1"/>
  <c r="O632" i="18"/>
  <c r="I785" i="18"/>
  <c r="K785" i="18" s="1"/>
  <c r="O634" i="16"/>
  <c r="N23" i="18"/>
  <c r="N21" i="18" s="1"/>
  <c r="M72" i="18"/>
  <c r="P72" i="18" s="1"/>
  <c r="M134" i="18"/>
  <c r="P134" i="18" s="1"/>
  <c r="J143" i="18"/>
  <c r="J131" i="18" s="1"/>
  <c r="O186" i="18"/>
  <c r="L217" i="18"/>
  <c r="O217" i="18" s="1"/>
  <c r="P266" i="18"/>
  <c r="M300" i="18"/>
  <c r="P300" i="18" s="1"/>
  <c r="N330" i="18"/>
  <c r="N328" i="18" s="1"/>
  <c r="O350" i="18"/>
  <c r="L391" i="18"/>
  <c r="O391" i="18" s="1"/>
  <c r="M405" i="18"/>
  <c r="P405" i="18" s="1"/>
  <c r="P407" i="18"/>
  <c r="K672" i="18"/>
  <c r="K700" i="18"/>
  <c r="K823" i="18"/>
  <c r="L209" i="16"/>
  <c r="O209" i="16" s="1"/>
  <c r="K823" i="17"/>
  <c r="K826" i="17"/>
  <c r="P264" i="18"/>
  <c r="K360" i="18"/>
  <c r="K673" i="18"/>
  <c r="M279" i="17"/>
  <c r="M277" i="17" s="1"/>
  <c r="L43" i="18"/>
  <c r="L41" i="18" s="1"/>
  <c r="M56" i="18"/>
  <c r="L69" i="18"/>
  <c r="O69" i="18" s="1"/>
  <c r="L125" i="18"/>
  <c r="O125" i="18" s="1"/>
  <c r="L171" i="18"/>
  <c r="O171" i="18" s="1"/>
  <c r="M184" i="18"/>
  <c r="P184" i="18" s="1"/>
  <c r="I233" i="18"/>
  <c r="K233" i="18" s="1"/>
  <c r="K287" i="18"/>
  <c r="N300" i="18"/>
  <c r="N298" i="18" s="1"/>
  <c r="P394" i="18"/>
  <c r="P15" i="18"/>
  <c r="M125" i="16"/>
  <c r="P125" i="16" s="1"/>
  <c r="K700" i="16"/>
  <c r="K708" i="16"/>
  <c r="N68" i="17"/>
  <c r="N66" i="17" s="1"/>
  <c r="N121" i="17"/>
  <c r="N119" i="17" s="1"/>
  <c r="L125" i="17"/>
  <c r="O125" i="17" s="1"/>
  <c r="P140" i="17"/>
  <c r="O184" i="17"/>
  <c r="K193" i="17"/>
  <c r="L229" i="17"/>
  <c r="I260" i="17"/>
  <c r="K260" i="17" s="1"/>
  <c r="P264" i="17"/>
  <c r="O280" i="17"/>
  <c r="L330" i="17"/>
  <c r="L328" i="17" s="1"/>
  <c r="I364" i="17"/>
  <c r="N392" i="17"/>
  <c r="L395" i="17"/>
  <c r="O395" i="17" s="1"/>
  <c r="K649" i="17"/>
  <c r="K824" i="16"/>
  <c r="L321" i="17"/>
  <c r="O321" i="17" s="1"/>
  <c r="M330" i="17"/>
  <c r="M328" i="17" s="1"/>
  <c r="K569" i="17"/>
  <c r="P22" i="18"/>
  <c r="M19" i="18"/>
  <c r="M12" i="18"/>
  <c r="P35" i="18"/>
  <c r="M34" i="18"/>
  <c r="P34" i="18" s="1"/>
  <c r="M122" i="17"/>
  <c r="P122" i="17" s="1"/>
  <c r="L230" i="17"/>
  <c r="M280" i="17"/>
  <c r="P280" i="17" s="1"/>
  <c r="P285" i="17"/>
  <c r="M334" i="17"/>
  <c r="P334" i="17" s="1"/>
  <c r="K435" i="17"/>
  <c r="L9" i="18"/>
  <c r="O12" i="18"/>
  <c r="N19" i="18"/>
  <c r="N12" i="18"/>
  <c r="M29" i="18"/>
  <c r="P138" i="15"/>
  <c r="M167" i="15"/>
  <c r="M165" i="15" s="1"/>
  <c r="K828" i="16"/>
  <c r="L68" i="17"/>
  <c r="N90" i="17"/>
  <c r="N88" i="17" s="1"/>
  <c r="O124" i="17"/>
  <c r="L209" i="17"/>
  <c r="O209" i="17" s="1"/>
  <c r="L304" i="17"/>
  <c r="O304" i="17" s="1"/>
  <c r="K360" i="17"/>
  <c r="L19" i="18"/>
  <c r="M544" i="18"/>
  <c r="P544" i="18" s="1"/>
  <c r="P545" i="18"/>
  <c r="L134" i="16"/>
  <c r="O134" i="16" s="1"/>
  <c r="L138" i="16"/>
  <c r="O138" i="16" s="1"/>
  <c r="L198" i="17"/>
  <c r="O198" i="17" s="1"/>
  <c r="K825" i="17"/>
  <c r="L23" i="18"/>
  <c r="O58" i="18"/>
  <c r="P71" i="18"/>
  <c r="I76" i="18"/>
  <c r="N168" i="18"/>
  <c r="P170" i="18"/>
  <c r="N183" i="18"/>
  <c r="O280" i="18"/>
  <c r="P320" i="18"/>
  <c r="M317" i="18"/>
  <c r="O333" i="18"/>
  <c r="P346" i="18"/>
  <c r="O351" i="18"/>
  <c r="K374" i="18"/>
  <c r="I364" i="18"/>
  <c r="O410" i="18"/>
  <c r="L408" i="18"/>
  <c r="O408" i="18" s="1"/>
  <c r="L454" i="18"/>
  <c r="O454" i="18" s="1"/>
  <c r="O456" i="18"/>
  <c r="L446" i="18"/>
  <c r="O446" i="18" s="1"/>
  <c r="O472" i="18"/>
  <c r="L470" i="18"/>
  <c r="K79" i="18"/>
  <c r="I77" i="18"/>
  <c r="K98" i="18"/>
  <c r="K164" i="18"/>
  <c r="M331" i="18"/>
  <c r="P331" i="18" s="1"/>
  <c r="M330" i="18"/>
  <c r="O445" i="18"/>
  <c r="N469" i="18"/>
  <c r="N467" i="18" s="1"/>
  <c r="N470" i="18"/>
  <c r="O503" i="18"/>
  <c r="O557" i="18"/>
  <c r="L546" i="18"/>
  <c r="I592" i="18"/>
  <c r="K592" i="18" s="1"/>
  <c r="K593" i="18"/>
  <c r="J669" i="18"/>
  <c r="K675" i="18"/>
  <c r="I112" i="18"/>
  <c r="K112" i="18" s="1"/>
  <c r="K115" i="18"/>
  <c r="K174" i="18"/>
  <c r="I226" i="18"/>
  <c r="M444" i="18"/>
  <c r="P444" i="18" s="1"/>
  <c r="P445" i="18"/>
  <c r="I522" i="18"/>
  <c r="K522" i="18" s="1"/>
  <c r="K537" i="18"/>
  <c r="P686" i="18"/>
  <c r="M685" i="18"/>
  <c r="P685" i="18" s="1"/>
  <c r="N807" i="18"/>
  <c r="N808" i="18"/>
  <c r="L68" i="18"/>
  <c r="K99" i="18"/>
  <c r="L155" i="18"/>
  <c r="O155" i="18" s="1"/>
  <c r="K176" i="18"/>
  <c r="L184" i="18"/>
  <c r="O184" i="18" s="1"/>
  <c r="M263" i="18"/>
  <c r="K271" i="18"/>
  <c r="J288" i="18"/>
  <c r="J275" i="18" s="1"/>
  <c r="P333" i="18"/>
  <c r="P524" i="18"/>
  <c r="M523" i="18"/>
  <c r="P523" i="18" s="1"/>
  <c r="O755" i="18"/>
  <c r="L754" i="18"/>
  <c r="O754" i="18" s="1"/>
  <c r="P772" i="18"/>
  <c r="M770" i="18"/>
  <c r="P770" i="18" s="1"/>
  <c r="L55" i="18"/>
  <c r="O124" i="18"/>
  <c r="L121" i="18"/>
  <c r="P150" i="18"/>
  <c r="L183" i="18"/>
  <c r="I275" i="18"/>
  <c r="O299" i="18"/>
  <c r="P329" i="18"/>
  <c r="M348" i="18"/>
  <c r="P348" i="18" s="1"/>
  <c r="P350" i="18"/>
  <c r="P397" i="18"/>
  <c r="M395" i="18"/>
  <c r="P395" i="18" s="1"/>
  <c r="M391" i="18"/>
  <c r="P391" i="18" s="1"/>
  <c r="O61" i="18"/>
  <c r="I86" i="18"/>
  <c r="K86" i="18" s="1"/>
  <c r="O93" i="18"/>
  <c r="P133" i="18"/>
  <c r="P166" i="18"/>
  <c r="K215" i="18"/>
  <c r="I208" i="18"/>
  <c r="K208" i="18" s="1"/>
  <c r="M283" i="18"/>
  <c r="P283" i="18" s="1"/>
  <c r="I297" i="18"/>
  <c r="K297" i="18" s="1"/>
  <c r="L318" i="18"/>
  <c r="O318" i="18" s="1"/>
  <c r="L317" i="18"/>
  <c r="O317" i="18" s="1"/>
  <c r="O320" i="18"/>
  <c r="O346" i="18"/>
  <c r="L405" i="18"/>
  <c r="O405" i="18" s="1"/>
  <c r="O407" i="18"/>
  <c r="L404" i="18"/>
  <c r="O424" i="18"/>
  <c r="N422" i="18"/>
  <c r="O422" i="18" s="1"/>
  <c r="K435" i="18"/>
  <c r="J433" i="18"/>
  <c r="J417" i="18" s="1"/>
  <c r="I433" i="18"/>
  <c r="L525" i="18"/>
  <c r="L639" i="18"/>
  <c r="O639" i="18" s="1"/>
  <c r="O641" i="18"/>
  <c r="L631" i="18"/>
  <c r="K651" i="18"/>
  <c r="I628" i="18"/>
  <c r="K628" i="18" s="1"/>
  <c r="O266" i="18"/>
  <c r="M279" i="18"/>
  <c r="M351" i="18"/>
  <c r="P351" i="18" s="1"/>
  <c r="P353" i="18"/>
  <c r="O390" i="18"/>
  <c r="O449" i="18"/>
  <c r="K540" i="18"/>
  <c r="J537" i="18"/>
  <c r="J522" i="18" s="1"/>
  <c r="O788" i="18"/>
  <c r="L786" i="18"/>
  <c r="O786" i="18" s="1"/>
  <c r="N805" i="18"/>
  <c r="J365" i="18"/>
  <c r="K372" i="18"/>
  <c r="M419" i="18"/>
  <c r="L429" i="18"/>
  <c r="O429" i="18" s="1"/>
  <c r="O431" i="18"/>
  <c r="L421" i="18"/>
  <c r="O447" i="18"/>
  <c r="O468" i="18"/>
  <c r="O660" i="18"/>
  <c r="L657" i="18"/>
  <c r="K370" i="18"/>
  <c r="N523" i="18"/>
  <c r="M629" i="18"/>
  <c r="P629" i="18" s="1"/>
  <c r="K647" i="18"/>
  <c r="N685" i="18"/>
  <c r="N414" i="18" s="1"/>
  <c r="J722" i="18"/>
  <c r="O738" i="18"/>
  <c r="L737" i="18"/>
  <c r="O737" i="18" s="1"/>
  <c r="P756" i="18"/>
  <c r="M754" i="18"/>
  <c r="P754" i="18" s="1"/>
  <c r="L789" i="18"/>
  <c r="O789" i="18" s="1"/>
  <c r="O791" i="18"/>
  <c r="O807" i="18"/>
  <c r="L805" i="18"/>
  <c r="O805" i="18" s="1"/>
  <c r="K369" i="18"/>
  <c r="K576" i="18"/>
  <c r="P739" i="18"/>
  <c r="M737" i="18"/>
  <c r="P737" i="18" s="1"/>
  <c r="O771" i="18"/>
  <c r="L770" i="18"/>
  <c r="O770" i="18" s="1"/>
  <c r="L655" i="17"/>
  <c r="L658" i="7"/>
  <c r="O658" i="7" s="1"/>
  <c r="L167" i="11"/>
  <c r="L165" i="11" s="1"/>
  <c r="M90" i="15"/>
  <c r="M88" i="15" s="1"/>
  <c r="N404" i="16"/>
  <c r="N402" i="16" s="1"/>
  <c r="L151" i="17"/>
  <c r="L183" i="17"/>
  <c r="L181" i="17" s="1"/>
  <c r="K204" i="17"/>
  <c r="I216" i="17"/>
  <c r="K216" i="17" s="1"/>
  <c r="L334" i="17"/>
  <c r="O334" i="17" s="1"/>
  <c r="O350" i="17"/>
  <c r="O353" i="17"/>
  <c r="K440" i="17"/>
  <c r="O528" i="17"/>
  <c r="K651" i="17"/>
  <c r="I143" i="16"/>
  <c r="I131" i="16" s="1"/>
  <c r="K131" i="16" s="1"/>
  <c r="P168" i="16"/>
  <c r="N23" i="17"/>
  <c r="N13" i="17" s="1"/>
  <c r="N69" i="17"/>
  <c r="P69" i="17" s="1"/>
  <c r="M72" i="17"/>
  <c r="P72" i="17" s="1"/>
  <c r="M134" i="17"/>
  <c r="I77" i="17"/>
  <c r="N151" i="17"/>
  <c r="N149" i="17" s="1"/>
  <c r="O157" i="17"/>
  <c r="L171" i="17"/>
  <c r="O171" i="17" s="1"/>
  <c r="I174" i="17"/>
  <c r="M187" i="17"/>
  <c r="P187" i="17" s="1"/>
  <c r="J327" i="17"/>
  <c r="K327" i="17" s="1"/>
  <c r="K369" i="17"/>
  <c r="K385" i="17"/>
  <c r="L470" i="17"/>
  <c r="O470" i="17" s="1"/>
  <c r="O660" i="17"/>
  <c r="O690" i="16"/>
  <c r="M55" i="17"/>
  <c r="M53" i="17" s="1"/>
  <c r="L152" i="17"/>
  <c r="O152" i="17" s="1"/>
  <c r="L231" i="17"/>
  <c r="K381" i="17"/>
  <c r="L404" i="17"/>
  <c r="O404" i="17" s="1"/>
  <c r="K720" i="17"/>
  <c r="K725" i="17"/>
  <c r="L151" i="16"/>
  <c r="O151" i="16" s="1"/>
  <c r="K385" i="16"/>
  <c r="L134" i="17"/>
  <c r="L217" i="17"/>
  <c r="O217" i="17" s="1"/>
  <c r="K370" i="17"/>
  <c r="L405" i="17"/>
  <c r="O405" i="17" s="1"/>
  <c r="L469" i="17"/>
  <c r="O56" i="17"/>
  <c r="P56" i="17"/>
  <c r="O58" i="17"/>
  <c r="I275" i="17"/>
  <c r="J288" i="17"/>
  <c r="K381" i="14"/>
  <c r="I76" i="15"/>
  <c r="K76" i="15" s="1"/>
  <c r="K372" i="15"/>
  <c r="J722" i="15"/>
  <c r="P71" i="16"/>
  <c r="M151" i="16"/>
  <c r="P151" i="16" s="1"/>
  <c r="K338" i="16"/>
  <c r="K370" i="16"/>
  <c r="K381" i="16"/>
  <c r="L404" i="16"/>
  <c r="O404" i="16" s="1"/>
  <c r="N55" i="17"/>
  <c r="I112" i="17"/>
  <c r="K112" i="17" s="1"/>
  <c r="M121" i="17"/>
  <c r="I248" i="17"/>
  <c r="K248" i="17" s="1"/>
  <c r="L264" i="17"/>
  <c r="O264" i="17" s="1"/>
  <c r="L263" i="17"/>
  <c r="L261" i="17" s="1"/>
  <c r="K309" i="17"/>
  <c r="I297" i="17"/>
  <c r="K297" i="17" s="1"/>
  <c r="K647" i="17"/>
  <c r="P184" i="14"/>
  <c r="P61" i="17"/>
  <c r="M59" i="17"/>
  <c r="P59" i="17" s="1"/>
  <c r="L94" i="17"/>
  <c r="O94" i="17" s="1"/>
  <c r="N347" i="17"/>
  <c r="N345" i="17" s="1"/>
  <c r="N351" i="17"/>
  <c r="O351" i="17" s="1"/>
  <c r="K372" i="17"/>
  <c r="I76" i="17"/>
  <c r="I64" i="17" s="1"/>
  <c r="K64" i="17" s="1"/>
  <c r="M301" i="17"/>
  <c r="P301" i="17" s="1"/>
  <c r="M300" i="17"/>
  <c r="P300" i="17" s="1"/>
  <c r="O394" i="17"/>
  <c r="L391" i="17"/>
  <c r="O391" i="17" s="1"/>
  <c r="L392" i="17"/>
  <c r="O392" i="17" s="1"/>
  <c r="K559" i="17"/>
  <c r="I442" i="14"/>
  <c r="K442" i="14" s="1"/>
  <c r="I190" i="15"/>
  <c r="K190" i="15" s="1"/>
  <c r="L68" i="16"/>
  <c r="O68" i="16" s="1"/>
  <c r="L230" i="16"/>
  <c r="J433" i="16"/>
  <c r="K649" i="16"/>
  <c r="P46" i="17"/>
  <c r="P58" i="17"/>
  <c r="P71" i="17"/>
  <c r="K78" i="17"/>
  <c r="P137" i="17"/>
  <c r="K159" i="17"/>
  <c r="L167" i="17"/>
  <c r="O167" i="17" s="1"/>
  <c r="O266" i="17"/>
  <c r="N317" i="17"/>
  <c r="N315" i="17" s="1"/>
  <c r="N321" i="17"/>
  <c r="P333" i="17"/>
  <c r="L639" i="17"/>
  <c r="O639" i="17" s="1"/>
  <c r="O641" i="17"/>
  <c r="K723" i="17"/>
  <c r="L230" i="15"/>
  <c r="L91" i="16"/>
  <c r="O91" i="16" s="1"/>
  <c r="L122" i="16"/>
  <c r="O122" i="16" s="1"/>
  <c r="N121" i="16"/>
  <c r="N119" i="16" s="1"/>
  <c r="K369" i="16"/>
  <c r="K372" i="16"/>
  <c r="K823" i="16"/>
  <c r="M23" i="17"/>
  <c r="M13" i="17" s="1"/>
  <c r="L55" i="17"/>
  <c r="O93" i="17"/>
  <c r="L90" i="17"/>
  <c r="M138" i="17"/>
  <c r="P138" i="17" s="1"/>
  <c r="J143" i="17"/>
  <c r="J131" i="17" s="1"/>
  <c r="L168" i="17"/>
  <c r="O168" i="17" s="1"/>
  <c r="N167" i="17"/>
  <c r="N165" i="17" s="1"/>
  <c r="O269" i="17"/>
  <c r="N330" i="17"/>
  <c r="N328" i="17" s="1"/>
  <c r="N331" i="17"/>
  <c r="P331" i="17" s="1"/>
  <c r="K560" i="16"/>
  <c r="M167" i="17"/>
  <c r="P167" i="17" s="1"/>
  <c r="M183" i="17"/>
  <c r="M181" i="17" s="1"/>
  <c r="P266" i="17"/>
  <c r="O282" i="17"/>
  <c r="K338" i="17"/>
  <c r="K359" i="17"/>
  <c r="K362" i="17"/>
  <c r="N404" i="17"/>
  <c r="N402" i="17" s="1"/>
  <c r="J537" i="17"/>
  <c r="J522" i="17" s="1"/>
  <c r="K577" i="17"/>
  <c r="I654" i="17"/>
  <c r="K654" i="17" s="1"/>
  <c r="O690" i="17"/>
  <c r="J721" i="17"/>
  <c r="K721" i="17" s="1"/>
  <c r="K822" i="17"/>
  <c r="K828" i="17"/>
  <c r="L238" i="17"/>
  <c r="O238" i="17" s="1"/>
  <c r="L228" i="17"/>
  <c r="L347" i="17"/>
  <c r="K355" i="17"/>
  <c r="K378" i="17"/>
  <c r="L533" i="17"/>
  <c r="O533" i="17" s="1"/>
  <c r="K673" i="17"/>
  <c r="K674" i="17"/>
  <c r="L300" i="17"/>
  <c r="O300" i="17" s="1"/>
  <c r="O333" i="17"/>
  <c r="K340" i="17"/>
  <c r="L348" i="17"/>
  <c r="O348" i="17" s="1"/>
  <c r="K374" i="17"/>
  <c r="J433" i="17"/>
  <c r="J417" i="17" s="1"/>
  <c r="I628" i="17"/>
  <c r="K628" i="17" s="1"/>
  <c r="L33" i="17"/>
  <c r="O33" i="17" s="1"/>
  <c r="K669" i="17"/>
  <c r="J722" i="17"/>
  <c r="K722" i="17" s="1"/>
  <c r="I208" i="17"/>
  <c r="K208" i="17" s="1"/>
  <c r="M318" i="17"/>
  <c r="P318" i="17" s="1"/>
  <c r="L331" i="17"/>
  <c r="O336" i="17"/>
  <c r="M348" i="17"/>
  <c r="P348" i="17" s="1"/>
  <c r="K379" i="17"/>
  <c r="P407" i="17"/>
  <c r="I417" i="17"/>
  <c r="L632" i="17"/>
  <c r="K701" i="17"/>
  <c r="K824" i="17"/>
  <c r="K827" i="17"/>
  <c r="P44" i="17"/>
  <c r="O44" i="17"/>
  <c r="M267" i="17"/>
  <c r="P267" i="17" s="1"/>
  <c r="P269" i="17"/>
  <c r="M263" i="17"/>
  <c r="L267" i="15"/>
  <c r="O267" i="15" s="1"/>
  <c r="L446" i="15"/>
  <c r="O446" i="15" s="1"/>
  <c r="J721" i="15"/>
  <c r="K821" i="15"/>
  <c r="M43" i="16"/>
  <c r="M41" i="16" s="1"/>
  <c r="L187" i="16"/>
  <c r="O187" i="16" s="1"/>
  <c r="K215" i="16"/>
  <c r="I260" i="16"/>
  <c r="K260" i="16" s="1"/>
  <c r="N279" i="16"/>
  <c r="N277" i="16" s="1"/>
  <c r="L26" i="17"/>
  <c r="L24" i="17" s="1"/>
  <c r="M28" i="17"/>
  <c r="P28" i="17" s="1"/>
  <c r="M34" i="17"/>
  <c r="P34" i="17" s="1"/>
  <c r="L69" i="17"/>
  <c r="O71" i="17"/>
  <c r="M91" i="17"/>
  <c r="P91" i="17" s="1"/>
  <c r="P93" i="17"/>
  <c r="L135" i="17"/>
  <c r="O137" i="17"/>
  <c r="P323" i="17"/>
  <c r="M321" i="17"/>
  <c r="P321" i="17" s="1"/>
  <c r="M317" i="17"/>
  <c r="O329" i="17"/>
  <c r="P397" i="17"/>
  <c r="M391" i="17"/>
  <c r="P738" i="17"/>
  <c r="M737" i="17"/>
  <c r="P737" i="17" s="1"/>
  <c r="L33" i="16"/>
  <c r="O33" i="16" s="1"/>
  <c r="M26" i="17"/>
  <c r="L72" i="17"/>
  <c r="O72" i="17" s="1"/>
  <c r="O74" i="17"/>
  <c r="O89" i="17"/>
  <c r="O91" i="17"/>
  <c r="M94" i="17"/>
  <c r="P94" i="17" s="1"/>
  <c r="P96" i="17"/>
  <c r="L138" i="17"/>
  <c r="O138" i="17" s="1"/>
  <c r="O140" i="17"/>
  <c r="O299" i="17"/>
  <c r="N301" i="17"/>
  <c r="N300" i="17"/>
  <c r="N298" i="17" s="1"/>
  <c r="M12" i="17"/>
  <c r="M19" i="17"/>
  <c r="N26" i="17"/>
  <c r="O46" i="17"/>
  <c r="O49" i="17"/>
  <c r="M168" i="17"/>
  <c r="P168" i="17" s="1"/>
  <c r="P170" i="17"/>
  <c r="P353" i="17"/>
  <c r="M347" i="17"/>
  <c r="O504" i="17"/>
  <c r="L502" i="17"/>
  <c r="O502" i="17" s="1"/>
  <c r="O69" i="15"/>
  <c r="M26" i="16"/>
  <c r="M16" i="16" s="1"/>
  <c r="I148" i="16"/>
  <c r="K148" i="16" s="1"/>
  <c r="L183" i="16"/>
  <c r="L23" i="17"/>
  <c r="I130" i="17"/>
  <c r="K130" i="17" s="1"/>
  <c r="K146" i="17"/>
  <c r="O166" i="17"/>
  <c r="N183" i="17"/>
  <c r="P186" i="17"/>
  <c r="O285" i="17"/>
  <c r="L279" i="17"/>
  <c r="M351" i="17"/>
  <c r="N544" i="17"/>
  <c r="K372" i="14"/>
  <c r="P58" i="16"/>
  <c r="O71" i="16"/>
  <c r="M90" i="16"/>
  <c r="M88" i="16" s="1"/>
  <c r="P186" i="16"/>
  <c r="O472" i="16"/>
  <c r="L9" i="17"/>
  <c r="L15" i="17"/>
  <c r="L29" i="17"/>
  <c r="M30" i="17"/>
  <c r="P30" i="17" s="1"/>
  <c r="M171" i="17"/>
  <c r="P171" i="17" s="1"/>
  <c r="P173" i="17"/>
  <c r="P182" i="17"/>
  <c r="I233" i="17"/>
  <c r="K233" i="17" s="1"/>
  <c r="K244" i="17"/>
  <c r="I237" i="17"/>
  <c r="L318" i="17"/>
  <c r="O318" i="17" s="1"/>
  <c r="O320" i="17"/>
  <c r="L317" i="17"/>
  <c r="O317" i="17" s="1"/>
  <c r="K365" i="17"/>
  <c r="J364" i="17"/>
  <c r="P421" i="17"/>
  <c r="M419" i="17"/>
  <c r="P446" i="17"/>
  <c r="M444" i="17"/>
  <c r="P444" i="17" s="1"/>
  <c r="N525" i="17"/>
  <c r="N523" i="17" s="1"/>
  <c r="N526" i="17"/>
  <c r="O634" i="17"/>
  <c r="L631" i="17"/>
  <c r="O631" i="17" s="1"/>
  <c r="P127" i="17"/>
  <c r="N135" i="17"/>
  <c r="P135" i="17" s="1"/>
  <c r="P154" i="17"/>
  <c r="P157" i="17"/>
  <c r="O186" i="17"/>
  <c r="O189" i="17"/>
  <c r="L249" i="17"/>
  <c r="P278" i="17"/>
  <c r="P306" i="17"/>
  <c r="O420" i="17"/>
  <c r="I443" i="17"/>
  <c r="K443" i="17" s="1"/>
  <c r="O445" i="17"/>
  <c r="J593" i="17"/>
  <c r="P303" i="17"/>
  <c r="I314" i="17"/>
  <c r="K314" i="17" s="1"/>
  <c r="O422" i="17"/>
  <c r="O424" i="17"/>
  <c r="O449" i="17"/>
  <c r="K460" i="17"/>
  <c r="I442" i="17"/>
  <c r="K442" i="17" s="1"/>
  <c r="N504" i="17"/>
  <c r="N502" i="17" s="1"/>
  <c r="L525" i="17"/>
  <c r="K537" i="17"/>
  <c r="M629" i="17"/>
  <c r="P629" i="17" s="1"/>
  <c r="N632" i="17"/>
  <c r="L754" i="17"/>
  <c r="O754" i="17" s="1"/>
  <c r="M770" i="17"/>
  <c r="P770" i="17" s="1"/>
  <c r="I785" i="17"/>
  <c r="K785" i="17" s="1"/>
  <c r="K800" i="17"/>
  <c r="L805" i="17"/>
  <c r="O805" i="17" s="1"/>
  <c r="P787" i="17"/>
  <c r="M786" i="17"/>
  <c r="P786" i="17" s="1"/>
  <c r="O791" i="17"/>
  <c r="N279" i="17"/>
  <c r="P410" i="17"/>
  <c r="N422" i="17"/>
  <c r="N447" i="17"/>
  <c r="O447" i="17" s="1"/>
  <c r="L546" i="17"/>
  <c r="K543" i="17"/>
  <c r="K728" i="17"/>
  <c r="I143" i="17"/>
  <c r="P282" i="17"/>
  <c r="O390" i="17"/>
  <c r="M404" i="17"/>
  <c r="L421" i="17"/>
  <c r="O421" i="17" s="1"/>
  <c r="O431" i="17"/>
  <c r="L446" i="17"/>
  <c r="O446" i="17" s="1"/>
  <c r="O456" i="17"/>
  <c r="P503" i="17"/>
  <c r="P524" i="17"/>
  <c r="M523" i="17"/>
  <c r="P523" i="17" s="1"/>
  <c r="O549" i="17"/>
  <c r="K576" i="17"/>
  <c r="O630" i="17"/>
  <c r="P686" i="17"/>
  <c r="M685" i="17"/>
  <c r="P685" i="17" s="1"/>
  <c r="K726" i="17"/>
  <c r="L788" i="17"/>
  <c r="P806" i="17"/>
  <c r="M805" i="17"/>
  <c r="P805" i="17" s="1"/>
  <c r="K675" i="17"/>
  <c r="N657" i="17"/>
  <c r="O657" i="17" s="1"/>
  <c r="M300" i="14"/>
  <c r="M298" i="14" s="1"/>
  <c r="N90" i="15"/>
  <c r="N88" i="15" s="1"/>
  <c r="L228" i="15"/>
  <c r="I443" i="15"/>
  <c r="K443" i="15" s="1"/>
  <c r="N55" i="16"/>
  <c r="N53" i="16" s="1"/>
  <c r="L72" i="16"/>
  <c r="O72" i="16" s="1"/>
  <c r="M94" i="16"/>
  <c r="P94" i="16" s="1"/>
  <c r="M155" i="16"/>
  <c r="P155" i="16" s="1"/>
  <c r="M187" i="16"/>
  <c r="P187" i="16" s="1"/>
  <c r="M283" i="16"/>
  <c r="P283" i="16" s="1"/>
  <c r="L317" i="16"/>
  <c r="O317" i="16" s="1"/>
  <c r="O333" i="16"/>
  <c r="K374" i="16"/>
  <c r="M91" i="15"/>
  <c r="L122" i="15"/>
  <c r="O122" i="15" s="1"/>
  <c r="M68" i="16"/>
  <c r="P68" i="16" s="1"/>
  <c r="P96" i="16"/>
  <c r="I190" i="16"/>
  <c r="K190" i="16" s="1"/>
  <c r="L217" i="16"/>
  <c r="O217" i="16" s="1"/>
  <c r="K435" i="16"/>
  <c r="O660" i="16"/>
  <c r="I76" i="16"/>
  <c r="I64" i="16" s="1"/>
  <c r="K64" i="16" s="1"/>
  <c r="L267" i="16"/>
  <c r="O267" i="16" s="1"/>
  <c r="N317" i="16"/>
  <c r="N315" i="16" s="1"/>
  <c r="I364" i="16"/>
  <c r="L408" i="16"/>
  <c r="O408" i="16" s="1"/>
  <c r="K647" i="15"/>
  <c r="M183" i="16"/>
  <c r="M321" i="16"/>
  <c r="P321" i="16" s="1"/>
  <c r="L331" i="16"/>
  <c r="L392" i="16"/>
  <c r="O392" i="16" s="1"/>
  <c r="I433" i="16"/>
  <c r="I417" i="16" s="1"/>
  <c r="K466" i="16"/>
  <c r="J537" i="16"/>
  <c r="J522" i="16" s="1"/>
  <c r="I364" i="15"/>
  <c r="P91" i="16"/>
  <c r="P282" i="16"/>
  <c r="K538" i="16"/>
  <c r="L546" i="16"/>
  <c r="K576" i="16"/>
  <c r="M283" i="15"/>
  <c r="P283" i="15" s="1"/>
  <c r="N317" i="15"/>
  <c r="N315" i="15" s="1"/>
  <c r="N347" i="15"/>
  <c r="N345" i="15" s="1"/>
  <c r="K381" i="15"/>
  <c r="L404" i="15"/>
  <c r="O404" i="15" s="1"/>
  <c r="N26" i="16"/>
  <c r="N16" i="16" s="1"/>
  <c r="M44" i="16"/>
  <c r="P44" i="16" s="1"/>
  <c r="P46" i="16"/>
  <c r="N59" i="16"/>
  <c r="O59" i="16" s="1"/>
  <c r="P93" i="16"/>
  <c r="P170" i="16"/>
  <c r="N331" i="16"/>
  <c r="N330" i="16"/>
  <c r="N328" i="16" s="1"/>
  <c r="O351" i="16"/>
  <c r="O397" i="16"/>
  <c r="L391" i="16"/>
  <c r="O391" i="16" s="1"/>
  <c r="O137" i="15"/>
  <c r="L229" i="15"/>
  <c r="I297" i="15"/>
  <c r="K297" i="15" s="1"/>
  <c r="K325" i="15"/>
  <c r="L330" i="15"/>
  <c r="L328" i="15" s="1"/>
  <c r="N330" i="15"/>
  <c r="N328" i="15" s="1"/>
  <c r="K370" i="15"/>
  <c r="L408" i="15"/>
  <c r="O408" i="15" s="1"/>
  <c r="I654" i="15"/>
  <c r="K654" i="15" s="1"/>
  <c r="M47" i="16"/>
  <c r="P47" i="16" s="1"/>
  <c r="O58" i="16"/>
  <c r="N90" i="16"/>
  <c r="M167" i="16"/>
  <c r="M165" i="16" s="1"/>
  <c r="L171" i="16"/>
  <c r="O171" i="16" s="1"/>
  <c r="N321" i="16"/>
  <c r="N392" i="16"/>
  <c r="N391" i="16"/>
  <c r="N389" i="16" s="1"/>
  <c r="P91" i="14"/>
  <c r="M47" i="15"/>
  <c r="P47" i="15" s="1"/>
  <c r="I87" i="15"/>
  <c r="K87" i="15" s="1"/>
  <c r="I237" i="15"/>
  <c r="K237" i="15" s="1"/>
  <c r="L231" i="15"/>
  <c r="M330" i="15"/>
  <c r="M328" i="15" s="1"/>
  <c r="O660" i="15"/>
  <c r="K674" i="15"/>
  <c r="L36" i="16"/>
  <c r="O36" i="16" s="1"/>
  <c r="O56" i="16"/>
  <c r="M23" i="16"/>
  <c r="M21" i="16" s="1"/>
  <c r="L135" i="16"/>
  <c r="O135" i="16" s="1"/>
  <c r="M152" i="16"/>
  <c r="P152" i="16" s="1"/>
  <c r="N151" i="16"/>
  <c r="N149" i="16" s="1"/>
  <c r="N167" i="16"/>
  <c r="L167" i="16"/>
  <c r="L165" i="16" s="1"/>
  <c r="M171" i="16"/>
  <c r="P171" i="16" s="1"/>
  <c r="K224" i="16"/>
  <c r="I216" i="16"/>
  <c r="K216" i="16" s="1"/>
  <c r="I248" i="16"/>
  <c r="K248" i="16" s="1"/>
  <c r="K287" i="16"/>
  <c r="I276" i="16"/>
  <c r="K276" i="16" s="1"/>
  <c r="I297" i="16"/>
  <c r="K297" i="16" s="1"/>
  <c r="K378" i="16"/>
  <c r="O280" i="15"/>
  <c r="N391" i="15"/>
  <c r="N389" i="15" s="1"/>
  <c r="O456" i="15"/>
  <c r="K651" i="15"/>
  <c r="O44" i="16"/>
  <c r="P56" i="16"/>
  <c r="M121" i="16"/>
  <c r="P121" i="16" s="1"/>
  <c r="I130" i="16"/>
  <c r="K130" i="16" s="1"/>
  <c r="O168" i="16"/>
  <c r="M184" i="16"/>
  <c r="P184" i="16" s="1"/>
  <c r="J288" i="16"/>
  <c r="J275" i="16" s="1"/>
  <c r="K275" i="16" s="1"/>
  <c r="O350" i="16"/>
  <c r="O353" i="16"/>
  <c r="L347" i="16"/>
  <c r="L345" i="16" s="1"/>
  <c r="L395" i="16"/>
  <c r="O395" i="16" s="1"/>
  <c r="I434" i="16"/>
  <c r="K438" i="16"/>
  <c r="L525" i="16"/>
  <c r="O525" i="16" s="1"/>
  <c r="M280" i="16"/>
  <c r="P280" i="16" s="1"/>
  <c r="M279" i="16"/>
  <c r="O306" i="16"/>
  <c r="L304" i="16"/>
  <c r="O304" i="16" s="1"/>
  <c r="L300" i="16"/>
  <c r="L298" i="16" s="1"/>
  <c r="O336" i="16"/>
  <c r="L330" i="16"/>
  <c r="N91" i="15"/>
  <c r="O91" i="15" s="1"/>
  <c r="K145" i="15"/>
  <c r="M267" i="15"/>
  <c r="P267" i="15" s="1"/>
  <c r="M317" i="15"/>
  <c r="P317" i="15" s="1"/>
  <c r="K701" i="15"/>
  <c r="K828" i="15"/>
  <c r="O93" i="16"/>
  <c r="O170" i="16"/>
  <c r="I237" i="16"/>
  <c r="K237" i="16" s="1"/>
  <c r="I233" i="16"/>
  <c r="K233" i="16" s="1"/>
  <c r="K244" i="16"/>
  <c r="L321" i="16"/>
  <c r="O321" i="16" s="1"/>
  <c r="N348" i="16"/>
  <c r="O348" i="16" s="1"/>
  <c r="N347" i="16"/>
  <c r="N345" i="16" s="1"/>
  <c r="O407" i="16"/>
  <c r="L405" i="16"/>
  <c r="O405" i="16" s="1"/>
  <c r="K672" i="16"/>
  <c r="I654" i="16"/>
  <c r="K654" i="16" s="1"/>
  <c r="K669" i="16"/>
  <c r="J721" i="16"/>
  <c r="K360" i="16"/>
  <c r="K593" i="16"/>
  <c r="L655" i="16"/>
  <c r="K720" i="16"/>
  <c r="K785" i="16"/>
  <c r="L238" i="16"/>
  <c r="O238" i="16" s="1"/>
  <c r="K355" i="16"/>
  <c r="K379" i="16"/>
  <c r="K537" i="16"/>
  <c r="K568" i="16"/>
  <c r="K651" i="16"/>
  <c r="K821" i="16"/>
  <c r="L198" i="16"/>
  <c r="O198" i="16" s="1"/>
  <c r="L318" i="16"/>
  <c r="O318" i="16" s="1"/>
  <c r="O549" i="16"/>
  <c r="J722" i="16"/>
  <c r="K800" i="16"/>
  <c r="K827" i="16"/>
  <c r="L231" i="16"/>
  <c r="K340" i="16"/>
  <c r="K359" i="16"/>
  <c r="O449" i="16"/>
  <c r="L469" i="16"/>
  <c r="L687" i="16"/>
  <c r="O687" i="16" s="1"/>
  <c r="K822" i="16"/>
  <c r="O12" i="16"/>
  <c r="P12" i="16"/>
  <c r="K81" i="16"/>
  <c r="I77" i="16"/>
  <c r="K87" i="16"/>
  <c r="K99" i="16"/>
  <c r="J87" i="16"/>
  <c r="M135" i="16"/>
  <c r="P135" i="16" s="1"/>
  <c r="M134" i="16"/>
  <c r="O329" i="16"/>
  <c r="O807" i="16"/>
  <c r="L805" i="16"/>
  <c r="O805" i="16" s="1"/>
  <c r="L317" i="12"/>
  <c r="O317" i="12" s="1"/>
  <c r="M55" i="15"/>
  <c r="M53" i="15" s="1"/>
  <c r="M72" i="15"/>
  <c r="P72" i="15" s="1"/>
  <c r="O140" i="15"/>
  <c r="N167" i="15"/>
  <c r="P186" i="15"/>
  <c r="M263" i="15"/>
  <c r="M261" i="15" s="1"/>
  <c r="M300" i="15"/>
  <c r="M298" i="15" s="1"/>
  <c r="O353" i="15"/>
  <c r="K379" i="15"/>
  <c r="L405" i="15"/>
  <c r="O405" i="15" s="1"/>
  <c r="N404" i="15"/>
  <c r="N402" i="15" s="1"/>
  <c r="I559" i="15"/>
  <c r="I543" i="15" s="1"/>
  <c r="K543" i="15" s="1"/>
  <c r="I628" i="15"/>
  <c r="K628" i="15" s="1"/>
  <c r="L631" i="15"/>
  <c r="O631" i="15" s="1"/>
  <c r="K672" i="15"/>
  <c r="N31" i="16"/>
  <c r="N29" i="16"/>
  <c r="N28" i="16" s="1"/>
  <c r="L43" i="16"/>
  <c r="P74" i="16"/>
  <c r="K100" i="16"/>
  <c r="I112" i="16"/>
  <c r="K112" i="16" s="1"/>
  <c r="K115" i="16"/>
  <c r="N134" i="16"/>
  <c r="N132" i="16" s="1"/>
  <c r="O182" i="16"/>
  <c r="L264" i="16"/>
  <c r="O266" i="16"/>
  <c r="L263" i="16"/>
  <c r="K800" i="14"/>
  <c r="L47" i="15"/>
  <c r="O47" i="15" s="1"/>
  <c r="O152" i="15"/>
  <c r="J433" i="15"/>
  <c r="J417" i="15" s="1"/>
  <c r="M15" i="16"/>
  <c r="P19" i="16"/>
  <c r="P22" i="16"/>
  <c r="M29" i="16"/>
  <c r="P32" i="16"/>
  <c r="O46" i="16"/>
  <c r="P120" i="16"/>
  <c r="P124" i="16"/>
  <c r="J143" i="16"/>
  <c r="J131" i="16" s="1"/>
  <c r="K144" i="16"/>
  <c r="P166" i="16"/>
  <c r="L249" i="16"/>
  <c r="O249" i="16" s="1"/>
  <c r="L228" i="16"/>
  <c r="I112" i="15"/>
  <c r="K112" i="15" s="1"/>
  <c r="M122" i="15"/>
  <c r="P122" i="15" s="1"/>
  <c r="N121" i="15"/>
  <c r="N119" i="15" s="1"/>
  <c r="L135" i="15"/>
  <c r="O135" i="15" s="1"/>
  <c r="M134" i="15"/>
  <c r="M132" i="15" s="1"/>
  <c r="N263" i="15"/>
  <c r="N261" i="15" s="1"/>
  <c r="K460" i="15"/>
  <c r="L23" i="16"/>
  <c r="O25" i="16"/>
  <c r="L15" i="16"/>
  <c r="P35" i="16"/>
  <c r="N43" i="16"/>
  <c r="L47" i="16"/>
  <c r="O47" i="16" s="1"/>
  <c r="L26" i="16"/>
  <c r="L55" i="16"/>
  <c r="P61" i="16"/>
  <c r="M55" i="16"/>
  <c r="O67" i="16"/>
  <c r="N68" i="16"/>
  <c r="N66" i="16" s="1"/>
  <c r="O127" i="16"/>
  <c r="L121" i="16"/>
  <c r="O121" i="16" s="1"/>
  <c r="P137" i="16"/>
  <c r="P269" i="16"/>
  <c r="M267" i="16"/>
  <c r="P267" i="16" s="1"/>
  <c r="M263" i="16"/>
  <c r="O303" i="16"/>
  <c r="N300" i="16"/>
  <c r="M68" i="15"/>
  <c r="M66" i="15" s="1"/>
  <c r="N122" i="15"/>
  <c r="M135" i="15"/>
  <c r="P135" i="15" s="1"/>
  <c r="J143" i="15"/>
  <c r="J131" i="15" s="1"/>
  <c r="K360" i="15"/>
  <c r="K669" i="15"/>
  <c r="N23" i="16"/>
  <c r="P33" i="16"/>
  <c r="M30" i="16"/>
  <c r="P30" i="16" s="1"/>
  <c r="M59" i="16"/>
  <c r="I86" i="16"/>
  <c r="K86" i="16" s="1"/>
  <c r="M138" i="16"/>
  <c r="P138" i="16" s="1"/>
  <c r="P140" i="16"/>
  <c r="L152" i="16"/>
  <c r="O152" i="16" s="1"/>
  <c r="L280" i="16"/>
  <c r="O280" i="16" s="1"/>
  <c r="O282" i="16"/>
  <c r="L279" i="16"/>
  <c r="N301" i="16"/>
  <c r="O301" i="16" s="1"/>
  <c r="P137" i="14"/>
  <c r="K823" i="14"/>
  <c r="K826" i="14"/>
  <c r="L68" i="15"/>
  <c r="L66" i="15" s="1"/>
  <c r="P93" i="15"/>
  <c r="N9" i="16"/>
  <c r="N15" i="16"/>
  <c r="O32" i="16"/>
  <c r="L29" i="16"/>
  <c r="O120" i="16"/>
  <c r="O54" i="16"/>
  <c r="O61" i="16"/>
  <c r="I174" i="16"/>
  <c r="O186" i="16"/>
  <c r="N264" i="16"/>
  <c r="P264" i="16" s="1"/>
  <c r="P266" i="16"/>
  <c r="O285" i="16"/>
  <c r="M304" i="16"/>
  <c r="P304" i="16" s="1"/>
  <c r="P306" i="16"/>
  <c r="O316" i="16"/>
  <c r="O323" i="16"/>
  <c r="P333" i="16"/>
  <c r="M331" i="16"/>
  <c r="K365" i="16"/>
  <c r="J364" i="16"/>
  <c r="P394" i="16"/>
  <c r="M392" i="16"/>
  <c r="P392" i="16" s="1"/>
  <c r="O788" i="16"/>
  <c r="L786" i="16"/>
  <c r="O786" i="16" s="1"/>
  <c r="P320" i="16"/>
  <c r="M317" i="16"/>
  <c r="O346" i="16"/>
  <c r="O738" i="16"/>
  <c r="L737" i="16"/>
  <c r="O737" i="16" s="1"/>
  <c r="K204" i="16"/>
  <c r="I197" i="16"/>
  <c r="K197" i="16" s="1"/>
  <c r="I314" i="16"/>
  <c r="K314" i="16" s="1"/>
  <c r="M318" i="16"/>
  <c r="P318" i="16" s="1"/>
  <c r="P336" i="16"/>
  <c r="M334" i="16"/>
  <c r="P334" i="16" s="1"/>
  <c r="P350" i="16"/>
  <c r="M348" i="16"/>
  <c r="O184" i="16"/>
  <c r="P397" i="16"/>
  <c r="M395" i="16"/>
  <c r="P395" i="16" s="1"/>
  <c r="M301" i="16"/>
  <c r="P303" i="16"/>
  <c r="M300" i="16"/>
  <c r="M330" i="16"/>
  <c r="P353" i="16"/>
  <c r="M351" i="16"/>
  <c r="P351" i="16" s="1"/>
  <c r="M391" i="16"/>
  <c r="M408" i="16"/>
  <c r="P408" i="16" s="1"/>
  <c r="P410" i="16"/>
  <c r="L429" i="16"/>
  <c r="O429" i="16" s="1"/>
  <c r="O431" i="16"/>
  <c r="L421" i="16"/>
  <c r="L454" i="16"/>
  <c r="O454" i="16" s="1"/>
  <c r="O456" i="16"/>
  <c r="L446" i="16"/>
  <c r="P545" i="16"/>
  <c r="M544" i="16"/>
  <c r="P544" i="16" s="1"/>
  <c r="I543" i="16"/>
  <c r="L639" i="16"/>
  <c r="O639" i="16" s="1"/>
  <c r="O641" i="16"/>
  <c r="L631" i="16"/>
  <c r="L629" i="16" s="1"/>
  <c r="P756" i="16"/>
  <c r="M754" i="16"/>
  <c r="P754" i="16" s="1"/>
  <c r="J327" i="16"/>
  <c r="K327" i="16" s="1"/>
  <c r="K362" i="16"/>
  <c r="O403" i="16"/>
  <c r="P419" i="16"/>
  <c r="I443" i="16"/>
  <c r="K443" i="16" s="1"/>
  <c r="N444" i="16"/>
  <c r="N737" i="16"/>
  <c r="O755" i="16"/>
  <c r="L754" i="16"/>
  <c r="O754" i="16" s="1"/>
  <c r="L789" i="16"/>
  <c r="O789" i="16" s="1"/>
  <c r="O791" i="16"/>
  <c r="N807" i="16"/>
  <c r="N805" i="16" s="1"/>
  <c r="N808" i="16"/>
  <c r="J592" i="16"/>
  <c r="P772" i="16"/>
  <c r="M770" i="16"/>
  <c r="P770" i="16" s="1"/>
  <c r="M405" i="16"/>
  <c r="P405" i="16" s="1"/>
  <c r="P407" i="16"/>
  <c r="O420" i="16"/>
  <c r="O422" i="16"/>
  <c r="K592" i="16"/>
  <c r="O771" i="16"/>
  <c r="L770" i="16"/>
  <c r="O770" i="16" s="1"/>
  <c r="O390" i="16"/>
  <c r="O424" i="16"/>
  <c r="N421" i="16"/>
  <c r="N419" i="16" s="1"/>
  <c r="L526" i="16"/>
  <c r="O526" i="16" s="1"/>
  <c r="O528" i="16"/>
  <c r="K594" i="16"/>
  <c r="K647" i="16"/>
  <c r="P739" i="16"/>
  <c r="M737" i="16"/>
  <c r="P737" i="16" s="1"/>
  <c r="P468" i="16"/>
  <c r="P503" i="16"/>
  <c r="J559" i="16"/>
  <c r="J543" i="16" s="1"/>
  <c r="J628" i="16"/>
  <c r="K628" i="16" s="1"/>
  <c r="O656" i="16"/>
  <c r="K674" i="16"/>
  <c r="I442" i="16"/>
  <c r="K442" i="16" s="1"/>
  <c r="N446" i="16"/>
  <c r="M523" i="16"/>
  <c r="P523" i="16" s="1"/>
  <c r="N631" i="16"/>
  <c r="N629" i="16" s="1"/>
  <c r="K675" i="16"/>
  <c r="M685" i="16"/>
  <c r="P685" i="16" s="1"/>
  <c r="M786" i="16"/>
  <c r="P786" i="16" s="1"/>
  <c r="M805" i="16"/>
  <c r="P805" i="16" s="1"/>
  <c r="N657" i="16"/>
  <c r="O657" i="16" s="1"/>
  <c r="L555" i="7"/>
  <c r="O555" i="7" s="1"/>
  <c r="K359" i="13"/>
  <c r="K255" i="14"/>
  <c r="L36" i="15"/>
  <c r="L43" i="15"/>
  <c r="L41" i="15" s="1"/>
  <c r="K82" i="15"/>
  <c r="L134" i="15"/>
  <c r="L132" i="15" s="1"/>
  <c r="N168" i="15"/>
  <c r="O168" i="15" s="1"/>
  <c r="P170" i="15"/>
  <c r="I260" i="15"/>
  <c r="K260" i="15" s="1"/>
  <c r="L283" i="15"/>
  <c r="O283" i="15" s="1"/>
  <c r="P301" i="15"/>
  <c r="K359" i="15"/>
  <c r="K362" i="15"/>
  <c r="P410" i="15"/>
  <c r="K435" i="15"/>
  <c r="K649" i="15"/>
  <c r="M43" i="15"/>
  <c r="I216" i="15"/>
  <c r="K216" i="15" s="1"/>
  <c r="J374" i="15"/>
  <c r="J364" i="15" s="1"/>
  <c r="L525" i="15"/>
  <c r="O525" i="15" s="1"/>
  <c r="O74" i="15"/>
  <c r="M151" i="15"/>
  <c r="M149" i="15" s="1"/>
  <c r="M183" i="15"/>
  <c r="M181" i="15" s="1"/>
  <c r="K369" i="15"/>
  <c r="M405" i="13"/>
  <c r="P405" i="13" s="1"/>
  <c r="M408" i="13"/>
  <c r="P408" i="13" s="1"/>
  <c r="N347" i="14"/>
  <c r="N345" i="14" s="1"/>
  <c r="P407" i="14"/>
  <c r="N43" i="15"/>
  <c r="N41" i="15" s="1"/>
  <c r="P46" i="15"/>
  <c r="M187" i="15"/>
  <c r="P187" i="15" s="1"/>
  <c r="L317" i="15"/>
  <c r="J327" i="15"/>
  <c r="K327" i="15" s="1"/>
  <c r="K365" i="15"/>
  <c r="I433" i="15"/>
  <c r="I417" i="15" s="1"/>
  <c r="K379" i="13"/>
  <c r="K822" i="13"/>
  <c r="K828" i="13"/>
  <c r="N23" i="15"/>
  <c r="N21" i="15" s="1"/>
  <c r="P140" i="15"/>
  <c r="I208" i="15"/>
  <c r="K208" i="15" s="1"/>
  <c r="L318" i="15"/>
  <c r="O318" i="15" s="1"/>
  <c r="K340" i="15"/>
  <c r="M392" i="15"/>
  <c r="P392" i="15" s="1"/>
  <c r="I434" i="15"/>
  <c r="K434" i="15" s="1"/>
  <c r="O641" i="15"/>
  <c r="L263" i="15"/>
  <c r="O266" i="15"/>
  <c r="O657" i="15"/>
  <c r="L655" i="15"/>
  <c r="O655" i="15" s="1"/>
  <c r="L688" i="15"/>
  <c r="O688" i="15" s="1"/>
  <c r="O690" i="15"/>
  <c r="M279" i="15"/>
  <c r="P282" i="15"/>
  <c r="L533" i="5"/>
  <c r="O533" i="5" s="1"/>
  <c r="K204" i="14"/>
  <c r="M304" i="14"/>
  <c r="P304" i="14" s="1"/>
  <c r="L330" i="14"/>
  <c r="L328" i="14" s="1"/>
  <c r="L44" i="15"/>
  <c r="O44" i="15" s="1"/>
  <c r="N56" i="15"/>
  <c r="O56" i="15" s="1"/>
  <c r="L59" i="15"/>
  <c r="O59" i="15" s="1"/>
  <c r="M69" i="15"/>
  <c r="P69" i="15" s="1"/>
  <c r="L94" i="15"/>
  <c r="O94" i="15" s="1"/>
  <c r="L138" i="15"/>
  <c r="O138" i="15" s="1"/>
  <c r="L171" i="15"/>
  <c r="O171" i="15" s="1"/>
  <c r="N183" i="15"/>
  <c r="N181" i="15" s="1"/>
  <c r="L184" i="15"/>
  <c r="O184" i="15" s="1"/>
  <c r="L183" i="15"/>
  <c r="P266" i="15"/>
  <c r="M264" i="15"/>
  <c r="P264" i="15" s="1"/>
  <c r="O303" i="15"/>
  <c r="P397" i="15"/>
  <c r="M391" i="15"/>
  <c r="P391" i="15" s="1"/>
  <c r="K440" i="15"/>
  <c r="L470" i="15"/>
  <c r="O470" i="15" s="1"/>
  <c r="L547" i="15"/>
  <c r="O547" i="15" s="1"/>
  <c r="O549" i="15"/>
  <c r="L687" i="15"/>
  <c r="O687" i="15" s="1"/>
  <c r="O168" i="14"/>
  <c r="P333" i="14"/>
  <c r="M44" i="15"/>
  <c r="P44" i="15" s="1"/>
  <c r="M59" i="15"/>
  <c r="P59" i="15" s="1"/>
  <c r="P71" i="15"/>
  <c r="M94" i="15"/>
  <c r="P94" i="15" s="1"/>
  <c r="L125" i="15"/>
  <c r="O125" i="15" s="1"/>
  <c r="N134" i="15"/>
  <c r="M171" i="15"/>
  <c r="P171" i="15" s="1"/>
  <c r="K255" i="15"/>
  <c r="M280" i="15"/>
  <c r="P280" i="15" s="1"/>
  <c r="P303" i="15"/>
  <c r="L321" i="15"/>
  <c r="O321" i="15" s="1"/>
  <c r="O323" i="15"/>
  <c r="M405" i="15"/>
  <c r="P405" i="15" s="1"/>
  <c r="P407" i="15"/>
  <c r="M404" i="15"/>
  <c r="P96" i="14"/>
  <c r="L228" i="14"/>
  <c r="O46" i="15"/>
  <c r="L55" i="15"/>
  <c r="L53" i="15" s="1"/>
  <c r="L90" i="15"/>
  <c r="L121" i="15"/>
  <c r="O121" i="15" s="1"/>
  <c r="M125" i="15"/>
  <c r="P125" i="15" s="1"/>
  <c r="L167" i="15"/>
  <c r="O170" i="15"/>
  <c r="M184" i="15"/>
  <c r="P184" i="15" s="1"/>
  <c r="L217" i="15"/>
  <c r="O217" i="15" s="1"/>
  <c r="L249" i="15"/>
  <c r="O249" i="15" s="1"/>
  <c r="L264" i="15"/>
  <c r="O264" i="15" s="1"/>
  <c r="L300" i="15"/>
  <c r="L304" i="15"/>
  <c r="O304" i="15" s="1"/>
  <c r="P306" i="15"/>
  <c r="P350" i="15"/>
  <c r="M347" i="15"/>
  <c r="P353" i="15"/>
  <c r="M351" i="15"/>
  <c r="P351" i="15" s="1"/>
  <c r="N392" i="15"/>
  <c r="M395" i="15"/>
  <c r="P395" i="15" s="1"/>
  <c r="L632" i="3"/>
  <c r="O632" i="3" s="1"/>
  <c r="L23" i="15"/>
  <c r="M121" i="15"/>
  <c r="P121" i="15" s="1"/>
  <c r="L209" i="15"/>
  <c r="O209" i="15" s="1"/>
  <c r="K378" i="13"/>
  <c r="M404" i="13"/>
  <c r="P404" i="13" s="1"/>
  <c r="K649" i="14"/>
  <c r="M23" i="15"/>
  <c r="M13" i="15" s="1"/>
  <c r="M11" i="15" s="1"/>
  <c r="N151" i="15"/>
  <c r="N149" i="15" s="1"/>
  <c r="O157" i="15"/>
  <c r="L151" i="15"/>
  <c r="L149" i="15" s="1"/>
  <c r="M168" i="15"/>
  <c r="K176" i="15"/>
  <c r="L198" i="15"/>
  <c r="O198" i="15" s="1"/>
  <c r="I233" i="15"/>
  <c r="K233" i="15" s="1"/>
  <c r="N279" i="15"/>
  <c r="N277" i="15" s="1"/>
  <c r="O282" i="15"/>
  <c r="L279" i="15"/>
  <c r="N300" i="15"/>
  <c r="N298" i="15" s="1"/>
  <c r="N318" i="15"/>
  <c r="N331" i="15"/>
  <c r="P331" i="15" s="1"/>
  <c r="P348" i="15"/>
  <c r="K824" i="15"/>
  <c r="O333" i="15"/>
  <c r="P333" i="15"/>
  <c r="K355" i="15"/>
  <c r="K378" i="15"/>
  <c r="K385" i="15"/>
  <c r="O535" i="15"/>
  <c r="K673" i="15"/>
  <c r="K822" i="15"/>
  <c r="M334" i="15"/>
  <c r="P334" i="15" s="1"/>
  <c r="O350" i="15"/>
  <c r="I131" i="15"/>
  <c r="L9" i="15"/>
  <c r="O12" i="15"/>
  <c r="N347" i="12"/>
  <c r="N345" i="12" s="1"/>
  <c r="O58" i="14"/>
  <c r="I276" i="14"/>
  <c r="K276" i="14" s="1"/>
  <c r="O303" i="14"/>
  <c r="N348" i="14"/>
  <c r="O348" i="14" s="1"/>
  <c r="L477" i="14"/>
  <c r="O477" i="14" s="1"/>
  <c r="M15" i="15"/>
  <c r="M19" i="15"/>
  <c r="M26" i="15"/>
  <c r="N55" i="15"/>
  <c r="O93" i="15"/>
  <c r="K144" i="15"/>
  <c r="M155" i="15"/>
  <c r="P155" i="15" s="1"/>
  <c r="P157" i="15"/>
  <c r="O186" i="15"/>
  <c r="O479" i="15"/>
  <c r="L469" i="15"/>
  <c r="L477" i="15"/>
  <c r="O477" i="15" s="1"/>
  <c r="L526" i="15"/>
  <c r="O526" i="15" s="1"/>
  <c r="O528" i="15"/>
  <c r="L33" i="15"/>
  <c r="L31" i="15" s="1"/>
  <c r="O31" i="15" s="1"/>
  <c r="I260" i="13"/>
  <c r="K260" i="13" s="1"/>
  <c r="O184" i="14"/>
  <c r="L279" i="14"/>
  <c r="M321" i="14"/>
  <c r="P321" i="14" s="1"/>
  <c r="N404" i="14"/>
  <c r="N402" i="14" s="1"/>
  <c r="L447" i="14"/>
  <c r="O447" i="14" s="1"/>
  <c r="N19" i="15"/>
  <c r="N26" i="15"/>
  <c r="O58" i="15"/>
  <c r="I77" i="15"/>
  <c r="I86" i="15"/>
  <c r="K86" i="15" s="1"/>
  <c r="K98" i="15"/>
  <c r="K116" i="15"/>
  <c r="L94" i="14"/>
  <c r="O94" i="14" s="1"/>
  <c r="L405" i="14"/>
  <c r="O405" i="14" s="1"/>
  <c r="P12" i="15"/>
  <c r="P58" i="15"/>
  <c r="P262" i="15"/>
  <c r="O771" i="15"/>
  <c r="L770" i="15"/>
  <c r="O770" i="15" s="1"/>
  <c r="L43" i="14"/>
  <c r="L41" i="14" s="1"/>
  <c r="M151" i="14"/>
  <c r="P151" i="14" s="1"/>
  <c r="L469" i="14"/>
  <c r="O469" i="14" s="1"/>
  <c r="M28" i="15"/>
  <c r="P28" i="15" s="1"/>
  <c r="O154" i="15"/>
  <c r="K164" i="15"/>
  <c r="M68" i="13"/>
  <c r="P68" i="13" s="1"/>
  <c r="M72" i="13"/>
  <c r="P72" i="13" s="1"/>
  <c r="N151" i="14"/>
  <c r="N149" i="14" s="1"/>
  <c r="N183" i="14"/>
  <c r="K360" i="14"/>
  <c r="J364" i="14"/>
  <c r="I434" i="14"/>
  <c r="K434" i="14" s="1"/>
  <c r="M34" i="15"/>
  <c r="P34" i="15" s="1"/>
  <c r="L26" i="15"/>
  <c r="N68" i="15"/>
  <c r="O71" i="15"/>
  <c r="P137" i="15"/>
  <c r="I148" i="15"/>
  <c r="K148" i="15" s="1"/>
  <c r="M152" i="15"/>
  <c r="P152" i="15" s="1"/>
  <c r="P154" i="15"/>
  <c r="K174" i="15"/>
  <c r="O189" i="15"/>
  <c r="L238" i="15"/>
  <c r="P545" i="15"/>
  <c r="M544" i="15"/>
  <c r="P544" i="15" s="1"/>
  <c r="M321" i="15"/>
  <c r="P321" i="15" s="1"/>
  <c r="P323" i="15"/>
  <c r="J537" i="15"/>
  <c r="J522" i="15" s="1"/>
  <c r="N544" i="15"/>
  <c r="P771" i="15"/>
  <c r="M770" i="15"/>
  <c r="P770" i="15" s="1"/>
  <c r="L789" i="15"/>
  <c r="O789" i="15" s="1"/>
  <c r="O791" i="15"/>
  <c r="I785" i="15"/>
  <c r="K785" i="15" s="1"/>
  <c r="K800" i="15"/>
  <c r="I197" i="15"/>
  <c r="K197" i="15" s="1"/>
  <c r="I276" i="15"/>
  <c r="K276" i="15" s="1"/>
  <c r="L334" i="15"/>
  <c r="O334" i="15" s="1"/>
  <c r="L348" i="15"/>
  <c r="O348" i="15" s="1"/>
  <c r="L392" i="15"/>
  <c r="O392" i="15" s="1"/>
  <c r="L421" i="15"/>
  <c r="O421" i="15" s="1"/>
  <c r="L447" i="15"/>
  <c r="O447" i="15" s="1"/>
  <c r="K561" i="15"/>
  <c r="N770" i="15"/>
  <c r="O806" i="15"/>
  <c r="L805" i="15"/>
  <c r="O805" i="15" s="1"/>
  <c r="K827" i="15"/>
  <c r="O524" i="15"/>
  <c r="P755" i="15"/>
  <c r="M754" i="15"/>
  <c r="P754" i="15" s="1"/>
  <c r="K338" i="15"/>
  <c r="L351" i="15"/>
  <c r="O351" i="15" s="1"/>
  <c r="L395" i="15"/>
  <c r="O395" i="15" s="1"/>
  <c r="L422" i="15"/>
  <c r="O422" i="15" s="1"/>
  <c r="O686" i="15"/>
  <c r="O787" i="15"/>
  <c r="L786" i="15"/>
  <c r="O786" i="15" s="1"/>
  <c r="O301" i="15"/>
  <c r="P316" i="15"/>
  <c r="M318" i="15"/>
  <c r="P318" i="15" s="1"/>
  <c r="P320" i="15"/>
  <c r="L347" i="15"/>
  <c r="L391" i="15"/>
  <c r="O391" i="15" s="1"/>
  <c r="O431" i="15"/>
  <c r="L632" i="15"/>
  <c r="O632" i="15" s="1"/>
  <c r="P738" i="15"/>
  <c r="M737" i="15"/>
  <c r="P737" i="15" s="1"/>
  <c r="K823" i="15"/>
  <c r="N505" i="15"/>
  <c r="M523" i="15"/>
  <c r="P523" i="15" s="1"/>
  <c r="M685" i="15"/>
  <c r="P685" i="15" s="1"/>
  <c r="M786" i="15"/>
  <c r="P786" i="15" s="1"/>
  <c r="M805" i="15"/>
  <c r="P805" i="15" s="1"/>
  <c r="J288" i="15"/>
  <c r="J275" i="15" s="1"/>
  <c r="K275" i="15" s="1"/>
  <c r="M419" i="15"/>
  <c r="M444" i="15"/>
  <c r="P444" i="15" s="1"/>
  <c r="L502" i="15"/>
  <c r="O502" i="15" s="1"/>
  <c r="K537" i="15"/>
  <c r="K593" i="15"/>
  <c r="M629" i="15"/>
  <c r="P629" i="15" s="1"/>
  <c r="O351" i="14"/>
  <c r="N121" i="12"/>
  <c r="N119" i="12" s="1"/>
  <c r="L187" i="13"/>
  <c r="O187" i="13" s="1"/>
  <c r="L68" i="14"/>
  <c r="L66" i="14" s="1"/>
  <c r="O74" i="14"/>
  <c r="L183" i="14"/>
  <c r="L181" i="14" s="1"/>
  <c r="K224" i="14"/>
  <c r="M317" i="14"/>
  <c r="P317" i="14" s="1"/>
  <c r="K325" i="14"/>
  <c r="K369" i="14"/>
  <c r="K822" i="14"/>
  <c r="K825" i="14"/>
  <c r="K828" i="14"/>
  <c r="M43" i="12"/>
  <c r="M41" i="12" s="1"/>
  <c r="I148" i="13"/>
  <c r="K148" i="13" s="1"/>
  <c r="I276" i="13"/>
  <c r="K276" i="13" s="1"/>
  <c r="L317" i="13"/>
  <c r="L315" i="13" s="1"/>
  <c r="O315" i="13" s="1"/>
  <c r="P58" i="14"/>
  <c r="P74" i="14"/>
  <c r="M183" i="14"/>
  <c r="L331" i="14"/>
  <c r="O331" i="14" s="1"/>
  <c r="L36" i="14"/>
  <c r="L34" i="14" s="1"/>
  <c r="O34" i="14" s="1"/>
  <c r="O303" i="13"/>
  <c r="L446" i="13"/>
  <c r="O446" i="13" s="1"/>
  <c r="K725" i="13"/>
  <c r="L151" i="14"/>
  <c r="O151" i="14" s="1"/>
  <c r="P157" i="14"/>
  <c r="O173" i="14"/>
  <c r="O186" i="14"/>
  <c r="N317" i="14"/>
  <c r="N315" i="14" s="1"/>
  <c r="L334" i="14"/>
  <c r="O334" i="14" s="1"/>
  <c r="O56" i="13"/>
  <c r="K370" i="13"/>
  <c r="N23" i="14"/>
  <c r="N21" i="14" s="1"/>
  <c r="M90" i="14"/>
  <c r="M88" i="14" s="1"/>
  <c r="L134" i="14"/>
  <c r="O134" i="14" s="1"/>
  <c r="L152" i="14"/>
  <c r="O152" i="14" s="1"/>
  <c r="P173" i="14"/>
  <c r="P186" i="14"/>
  <c r="M267" i="14"/>
  <c r="P267" i="14" s="1"/>
  <c r="N279" i="14"/>
  <c r="N277" i="14" s="1"/>
  <c r="O323" i="14"/>
  <c r="K338" i="14"/>
  <c r="L687" i="14"/>
  <c r="O687" i="14" s="1"/>
  <c r="I522" i="13"/>
  <c r="K522" i="13" s="1"/>
  <c r="I112" i="14"/>
  <c r="K112" i="14" s="1"/>
  <c r="O137" i="14"/>
  <c r="M301" i="14"/>
  <c r="L304" i="14"/>
  <c r="O304" i="14" s="1"/>
  <c r="K340" i="14"/>
  <c r="I559" i="14"/>
  <c r="I543" i="14" s="1"/>
  <c r="K543" i="14" s="1"/>
  <c r="O690" i="14"/>
  <c r="K821" i="14"/>
  <c r="K824" i="14"/>
  <c r="K827" i="14"/>
  <c r="O127" i="14"/>
  <c r="L125" i="14"/>
  <c r="O125" i="14" s="1"/>
  <c r="I130" i="14"/>
  <c r="K130" i="14" s="1"/>
  <c r="K146" i="14"/>
  <c r="L318" i="14"/>
  <c r="O318" i="14" s="1"/>
  <c r="O320" i="14"/>
  <c r="O397" i="14"/>
  <c r="L395" i="14"/>
  <c r="O395" i="14" s="1"/>
  <c r="L408" i="14"/>
  <c r="O408" i="14" s="1"/>
  <c r="O410" i="14"/>
  <c r="K674" i="14"/>
  <c r="I654" i="14"/>
  <c r="K654" i="14" s="1"/>
  <c r="K675" i="14"/>
  <c r="K669" i="14"/>
  <c r="J143" i="13"/>
  <c r="J131" i="13" s="1"/>
  <c r="M334" i="13"/>
  <c r="P334" i="13" s="1"/>
  <c r="L391" i="13"/>
  <c r="O391" i="13" s="1"/>
  <c r="N44" i="14"/>
  <c r="O44" i="14" s="1"/>
  <c r="O46" i="14"/>
  <c r="O93" i="14"/>
  <c r="L91" i="14"/>
  <c r="O91" i="14" s="1"/>
  <c r="M122" i="14"/>
  <c r="P122" i="14" s="1"/>
  <c r="P124" i="14"/>
  <c r="L317" i="14"/>
  <c r="O317" i="14" s="1"/>
  <c r="O394" i="14"/>
  <c r="L392" i="14"/>
  <c r="O392" i="14" s="1"/>
  <c r="P410" i="14"/>
  <c r="M408" i="14"/>
  <c r="P408" i="14" s="1"/>
  <c r="K438" i="14"/>
  <c r="L547" i="14"/>
  <c r="O547" i="14" s="1"/>
  <c r="L687" i="12"/>
  <c r="O687" i="12" s="1"/>
  <c r="N167" i="13"/>
  <c r="N165" i="13" s="1"/>
  <c r="L267" i="13"/>
  <c r="O267" i="13" s="1"/>
  <c r="O336" i="13"/>
  <c r="L90" i="14"/>
  <c r="L88" i="14" s="1"/>
  <c r="M121" i="14"/>
  <c r="M119" i="14" s="1"/>
  <c r="P119" i="14" s="1"/>
  <c r="M138" i="14"/>
  <c r="P138" i="14" s="1"/>
  <c r="P140" i="14"/>
  <c r="I260" i="14"/>
  <c r="K260" i="14" s="1"/>
  <c r="K271" i="14"/>
  <c r="P285" i="14"/>
  <c r="M279" i="14"/>
  <c r="M277" i="14" s="1"/>
  <c r="L94" i="13"/>
  <c r="O94" i="13" s="1"/>
  <c r="L122" i="13"/>
  <c r="O122" i="13" s="1"/>
  <c r="L125" i="13"/>
  <c r="O125" i="13" s="1"/>
  <c r="L152" i="13"/>
  <c r="O152" i="13" s="1"/>
  <c r="N168" i="13"/>
  <c r="P168" i="13" s="1"/>
  <c r="K193" i="13"/>
  <c r="L228" i="13"/>
  <c r="P320" i="13"/>
  <c r="N121" i="14"/>
  <c r="N119" i="14" s="1"/>
  <c r="N152" i="14"/>
  <c r="L391" i="14"/>
  <c r="L33" i="14"/>
  <c r="O33" i="14" s="1"/>
  <c r="O424" i="14"/>
  <c r="L422" i="14"/>
  <c r="O422" i="14" s="1"/>
  <c r="K651" i="14"/>
  <c r="I628" i="14"/>
  <c r="K628" i="14" s="1"/>
  <c r="M347" i="13"/>
  <c r="M345" i="13" s="1"/>
  <c r="K369" i="13"/>
  <c r="K372" i="13"/>
  <c r="O49" i="14"/>
  <c r="L47" i="14"/>
  <c r="O47" i="14" s="1"/>
  <c r="P61" i="14"/>
  <c r="M55" i="14"/>
  <c r="M53" i="14" s="1"/>
  <c r="I77" i="14"/>
  <c r="K77" i="14" s="1"/>
  <c r="O189" i="14"/>
  <c r="L187" i="14"/>
  <c r="O187" i="14" s="1"/>
  <c r="N280" i="14"/>
  <c r="P280" i="14" s="1"/>
  <c r="M283" i="14"/>
  <c r="P283" i="14" s="1"/>
  <c r="O353" i="14"/>
  <c r="L347" i="14"/>
  <c r="L345" i="14" s="1"/>
  <c r="K362" i="14"/>
  <c r="J537" i="14"/>
  <c r="J522" i="14" s="1"/>
  <c r="K672" i="14"/>
  <c r="O61" i="13"/>
  <c r="P333" i="13"/>
  <c r="I433" i="13"/>
  <c r="I417" i="13" s="1"/>
  <c r="M47" i="14"/>
  <c r="P47" i="14" s="1"/>
  <c r="P49" i="14"/>
  <c r="N55" i="14"/>
  <c r="N53" i="14" s="1"/>
  <c r="N59" i="14"/>
  <c r="O59" i="14" s="1"/>
  <c r="P189" i="14"/>
  <c r="M187" i="14"/>
  <c r="P187" i="14" s="1"/>
  <c r="I237" i="14"/>
  <c r="I233" i="14"/>
  <c r="K233" i="14" s="1"/>
  <c r="L404" i="14"/>
  <c r="L402" i="14" s="1"/>
  <c r="O402" i="14" s="1"/>
  <c r="K673" i="14"/>
  <c r="I76" i="14"/>
  <c r="K76" i="14" s="1"/>
  <c r="O140" i="14"/>
  <c r="L167" i="14"/>
  <c r="L165" i="14" s="1"/>
  <c r="K197" i="14"/>
  <c r="N330" i="14"/>
  <c r="N328" i="14" s="1"/>
  <c r="M404" i="14"/>
  <c r="L525" i="14"/>
  <c r="O525" i="14" s="1"/>
  <c r="J721" i="14"/>
  <c r="M167" i="14"/>
  <c r="M165" i="14" s="1"/>
  <c r="P168" i="14"/>
  <c r="L217" i="14"/>
  <c r="O217" i="14" s="1"/>
  <c r="L238" i="14"/>
  <c r="O238" i="14" s="1"/>
  <c r="M263" i="14"/>
  <c r="M261" i="14" s="1"/>
  <c r="L263" i="14"/>
  <c r="L261" i="14" s="1"/>
  <c r="I275" i="14"/>
  <c r="K275" i="14" s="1"/>
  <c r="M318" i="14"/>
  <c r="P318" i="14" s="1"/>
  <c r="K355" i="14"/>
  <c r="K385" i="14"/>
  <c r="P56" i="14"/>
  <c r="L209" i="14"/>
  <c r="O209" i="14" s="1"/>
  <c r="O264" i="14"/>
  <c r="J327" i="14"/>
  <c r="K327" i="14" s="1"/>
  <c r="O350" i="14"/>
  <c r="O61" i="14"/>
  <c r="P71" i="14"/>
  <c r="N134" i="14"/>
  <c r="N132" i="14" s="1"/>
  <c r="I190" i="14"/>
  <c r="K190" i="14" s="1"/>
  <c r="L198" i="14"/>
  <c r="O198" i="14" s="1"/>
  <c r="L249" i="14"/>
  <c r="O249" i="14" s="1"/>
  <c r="N263" i="14"/>
  <c r="N261" i="14" s="1"/>
  <c r="M347" i="14"/>
  <c r="M345" i="14" s="1"/>
  <c r="O535" i="14"/>
  <c r="L657" i="14"/>
  <c r="M155" i="12"/>
  <c r="P155" i="12" s="1"/>
  <c r="I276" i="12"/>
  <c r="K276" i="12" s="1"/>
  <c r="O353" i="12"/>
  <c r="K362" i="12"/>
  <c r="K385" i="12"/>
  <c r="K708" i="12"/>
  <c r="L43" i="13"/>
  <c r="L41" i="13" s="1"/>
  <c r="L134" i="13"/>
  <c r="L132" i="13" s="1"/>
  <c r="M47" i="13"/>
  <c r="P47" i="13" s="1"/>
  <c r="P49" i="13"/>
  <c r="I76" i="13"/>
  <c r="K76" i="13" s="1"/>
  <c r="M90" i="12"/>
  <c r="M88" i="12" s="1"/>
  <c r="O170" i="12"/>
  <c r="I208" i="12"/>
  <c r="K208" i="12" s="1"/>
  <c r="K701" i="12"/>
  <c r="K309" i="13"/>
  <c r="K370" i="11"/>
  <c r="L446" i="11"/>
  <c r="L444" i="11" s="1"/>
  <c r="N55" i="12"/>
  <c r="N53" i="12" s="1"/>
  <c r="L404" i="12"/>
  <c r="L402" i="12" s="1"/>
  <c r="O402" i="12" s="1"/>
  <c r="M94" i="13"/>
  <c r="P94" i="13" s="1"/>
  <c r="N151" i="13"/>
  <c r="N149" i="13" s="1"/>
  <c r="N183" i="13"/>
  <c r="N181" i="13" s="1"/>
  <c r="O138" i="13"/>
  <c r="M187" i="13"/>
  <c r="P187" i="13" s="1"/>
  <c r="N317" i="13"/>
  <c r="N315" i="13" s="1"/>
  <c r="N43" i="13"/>
  <c r="N41" i="13" s="1"/>
  <c r="N90" i="13"/>
  <c r="N88" i="13" s="1"/>
  <c r="L249" i="13"/>
  <c r="O249" i="13" s="1"/>
  <c r="L321" i="13"/>
  <c r="O321" i="13" s="1"/>
  <c r="O348" i="13"/>
  <c r="K362" i="13"/>
  <c r="I442" i="13"/>
  <c r="K442" i="13" s="1"/>
  <c r="L26" i="14"/>
  <c r="L24" i="14" s="1"/>
  <c r="N31" i="14"/>
  <c r="M43" i="14"/>
  <c r="M59" i="14"/>
  <c r="N69" i="14"/>
  <c r="P69" i="14" s="1"/>
  <c r="K80" i="14"/>
  <c r="K83" i="14"/>
  <c r="I87" i="14"/>
  <c r="K87" i="14" s="1"/>
  <c r="N90" i="14"/>
  <c r="N88" i="14" s="1"/>
  <c r="P93" i="14"/>
  <c r="M125" i="14"/>
  <c r="P125" i="14" s="1"/>
  <c r="N135" i="14"/>
  <c r="M152" i="14"/>
  <c r="P152" i="14" s="1"/>
  <c r="K159" i="14"/>
  <c r="O170" i="14"/>
  <c r="I174" i="14"/>
  <c r="L229" i="14"/>
  <c r="P264" i="14"/>
  <c r="P266" i="14"/>
  <c r="P282" i="14"/>
  <c r="K288" i="14"/>
  <c r="L301" i="14"/>
  <c r="P303" i="14"/>
  <c r="K309" i="14"/>
  <c r="I297" i="14"/>
  <c r="K297" i="14" s="1"/>
  <c r="N391" i="14"/>
  <c r="N389" i="14" s="1"/>
  <c r="P397" i="14"/>
  <c r="M395" i="14"/>
  <c r="P395" i="14" s="1"/>
  <c r="M391" i="14"/>
  <c r="P391" i="14" s="1"/>
  <c r="M26" i="14"/>
  <c r="M31" i="14"/>
  <c r="P31" i="14" s="1"/>
  <c r="N43" i="14"/>
  <c r="P154" i="14"/>
  <c r="N167" i="14"/>
  <c r="P170" i="14"/>
  <c r="P262" i="14"/>
  <c r="P278" i="14"/>
  <c r="O285" i="14"/>
  <c r="L283" i="14"/>
  <c r="O283" i="14" s="1"/>
  <c r="N301" i="14"/>
  <c r="N300" i="14"/>
  <c r="N298" i="14" s="1"/>
  <c r="P350" i="14"/>
  <c r="M348" i="14"/>
  <c r="K360" i="13"/>
  <c r="J364" i="13"/>
  <c r="M12" i="14"/>
  <c r="M19" i="14"/>
  <c r="N26" i="14"/>
  <c r="P33" i="14"/>
  <c r="M30" i="14"/>
  <c r="P30" i="14" s="1"/>
  <c r="P46" i="14"/>
  <c r="L56" i="14"/>
  <c r="O56" i="14" s="1"/>
  <c r="M68" i="14"/>
  <c r="O71" i="14"/>
  <c r="L122" i="14"/>
  <c r="O122" i="14" s="1"/>
  <c r="M134" i="14"/>
  <c r="L155" i="14"/>
  <c r="O155" i="14" s="1"/>
  <c r="K215" i="14"/>
  <c r="L230" i="14"/>
  <c r="L267" i="14"/>
  <c r="O267" i="14" s="1"/>
  <c r="M331" i="14"/>
  <c r="P331" i="14" s="1"/>
  <c r="M330" i="14"/>
  <c r="O346" i="14"/>
  <c r="K381" i="13"/>
  <c r="O472" i="13"/>
  <c r="K708" i="13"/>
  <c r="L23" i="14"/>
  <c r="N68" i="14"/>
  <c r="I86" i="14"/>
  <c r="K86" i="14" s="1"/>
  <c r="J143" i="14"/>
  <c r="J131" i="14" s="1"/>
  <c r="L231" i="14"/>
  <c r="P346" i="14"/>
  <c r="K379" i="14"/>
  <c r="O420" i="14"/>
  <c r="K649" i="13"/>
  <c r="L9" i="14"/>
  <c r="L15" i="14"/>
  <c r="M23" i="14"/>
  <c r="M21" i="14" s="1"/>
  <c r="M29" i="14"/>
  <c r="O32" i="14"/>
  <c r="L29" i="14"/>
  <c r="L55" i="14"/>
  <c r="L53" i="14" s="1"/>
  <c r="L121" i="14"/>
  <c r="O121" i="14" s="1"/>
  <c r="L300" i="14"/>
  <c r="K374" i="14"/>
  <c r="I364" i="14"/>
  <c r="K145" i="14"/>
  <c r="I143" i="14"/>
  <c r="O266" i="14"/>
  <c r="O282" i="14"/>
  <c r="L280" i="14"/>
  <c r="P353" i="14"/>
  <c r="M351" i="14"/>
  <c r="P351" i="14" s="1"/>
  <c r="K359" i="14"/>
  <c r="K370" i="14"/>
  <c r="K378" i="14"/>
  <c r="L429" i="14"/>
  <c r="O429" i="14" s="1"/>
  <c r="O431" i="14"/>
  <c r="L421" i="14"/>
  <c r="O421" i="14" s="1"/>
  <c r="K435" i="14"/>
  <c r="J433" i="14"/>
  <c r="J417" i="14" s="1"/>
  <c r="K417" i="14" s="1"/>
  <c r="I443" i="14"/>
  <c r="K443" i="14" s="1"/>
  <c r="M444" i="14"/>
  <c r="P444" i="14" s="1"/>
  <c r="O472" i="14"/>
  <c r="K594" i="14"/>
  <c r="K647" i="14"/>
  <c r="O788" i="14"/>
  <c r="L786" i="14"/>
  <c r="O786" i="14" s="1"/>
  <c r="O333" i="14"/>
  <c r="P336" i="14"/>
  <c r="K365" i="14"/>
  <c r="P394" i="14"/>
  <c r="M392" i="14"/>
  <c r="P392" i="14" s="1"/>
  <c r="O503" i="14"/>
  <c r="J722" i="14"/>
  <c r="O738" i="14"/>
  <c r="L737" i="14"/>
  <c r="O737" i="14" s="1"/>
  <c r="P756" i="14"/>
  <c r="M754" i="14"/>
  <c r="P754" i="14" s="1"/>
  <c r="L789" i="14"/>
  <c r="O789" i="14" s="1"/>
  <c r="O791" i="14"/>
  <c r="O807" i="14"/>
  <c r="L805" i="14"/>
  <c r="O805" i="14" s="1"/>
  <c r="L526" i="14"/>
  <c r="O526" i="14" s="1"/>
  <c r="O528" i="14"/>
  <c r="P545" i="14"/>
  <c r="M544" i="14"/>
  <c r="P544" i="14" s="1"/>
  <c r="N807" i="14"/>
  <c r="N805" i="14" s="1"/>
  <c r="N414" i="14" s="1"/>
  <c r="N808" i="14"/>
  <c r="P419" i="14"/>
  <c r="L454" i="14"/>
  <c r="O454" i="14" s="1"/>
  <c r="O456" i="14"/>
  <c r="L446" i="14"/>
  <c r="L639" i="14"/>
  <c r="O639" i="14" s="1"/>
  <c r="O641" i="14"/>
  <c r="L631" i="14"/>
  <c r="O755" i="14"/>
  <c r="L754" i="14"/>
  <c r="O754" i="14" s="1"/>
  <c r="P772" i="14"/>
  <c r="M770" i="14"/>
  <c r="P770" i="14" s="1"/>
  <c r="P420" i="14"/>
  <c r="P739" i="14"/>
  <c r="M737" i="14"/>
  <c r="P737" i="14" s="1"/>
  <c r="O771" i="14"/>
  <c r="L770" i="14"/>
  <c r="O770" i="14" s="1"/>
  <c r="L470" i="14"/>
  <c r="O470" i="14" s="1"/>
  <c r="L555" i="14"/>
  <c r="O555" i="14" s="1"/>
  <c r="L658" i="14"/>
  <c r="O658" i="14" s="1"/>
  <c r="K537" i="14"/>
  <c r="L546" i="14"/>
  <c r="K593" i="14"/>
  <c r="L657" i="3"/>
  <c r="O657" i="3" s="1"/>
  <c r="L447" i="4"/>
  <c r="O447" i="4" s="1"/>
  <c r="L230" i="10"/>
  <c r="M167" i="11"/>
  <c r="M165" i="11" s="1"/>
  <c r="N122" i="12"/>
  <c r="I233" i="12"/>
  <c r="K233" i="12" s="1"/>
  <c r="N300" i="12"/>
  <c r="N298" i="12" s="1"/>
  <c r="M330" i="12"/>
  <c r="M328" i="12" s="1"/>
  <c r="M69" i="13"/>
  <c r="P69" i="13" s="1"/>
  <c r="L72" i="13"/>
  <c r="O72" i="13" s="1"/>
  <c r="K78" i="13"/>
  <c r="K99" i="13"/>
  <c r="M125" i="13"/>
  <c r="P125" i="13" s="1"/>
  <c r="M134" i="13"/>
  <c r="M132" i="13" s="1"/>
  <c r="N155" i="13"/>
  <c r="N187" i="13"/>
  <c r="L229" i="13"/>
  <c r="M267" i="13"/>
  <c r="P267" i="13" s="1"/>
  <c r="K288" i="13"/>
  <c r="L318" i="13"/>
  <c r="O318" i="13" s="1"/>
  <c r="K338" i="13"/>
  <c r="M408" i="12"/>
  <c r="P408" i="12" s="1"/>
  <c r="L688" i="12"/>
  <c r="O688" i="12" s="1"/>
  <c r="I112" i="13"/>
  <c r="K112" i="13" s="1"/>
  <c r="N134" i="13"/>
  <c r="N132" i="13" s="1"/>
  <c r="O170" i="13"/>
  <c r="O186" i="13"/>
  <c r="I216" i="13"/>
  <c r="K216" i="13" s="1"/>
  <c r="L217" i="13"/>
  <c r="O217" i="13" s="1"/>
  <c r="I233" i="13"/>
  <c r="K233" i="13" s="1"/>
  <c r="I237" i="13"/>
  <c r="I226" i="13" s="1"/>
  <c r="K226" i="13" s="1"/>
  <c r="L231" i="13"/>
  <c r="M391" i="13"/>
  <c r="P391" i="13" s="1"/>
  <c r="L533" i="13"/>
  <c r="O533" i="13" s="1"/>
  <c r="L36" i="13"/>
  <c r="O36" i="13" s="1"/>
  <c r="P93" i="13"/>
  <c r="L135" i="13"/>
  <c r="O135" i="13" s="1"/>
  <c r="P170" i="13"/>
  <c r="O320" i="13"/>
  <c r="I654" i="13"/>
  <c r="K654" i="13" s="1"/>
  <c r="K673" i="13"/>
  <c r="M72" i="10"/>
  <c r="P72" i="10" s="1"/>
  <c r="P46" i="12"/>
  <c r="P269" i="12"/>
  <c r="M321" i="12"/>
  <c r="P321" i="12" s="1"/>
  <c r="K628" i="12"/>
  <c r="K823" i="12"/>
  <c r="M331" i="13"/>
  <c r="P331" i="13" s="1"/>
  <c r="K385" i="13"/>
  <c r="L525" i="13"/>
  <c r="O525" i="13" s="1"/>
  <c r="N121" i="13"/>
  <c r="N119" i="13" s="1"/>
  <c r="J327" i="13"/>
  <c r="K327" i="13" s="1"/>
  <c r="N404" i="13"/>
  <c r="N402" i="13" s="1"/>
  <c r="K800" i="13"/>
  <c r="P140" i="13"/>
  <c r="M138" i="13"/>
  <c r="P138" i="13" s="1"/>
  <c r="N304" i="13"/>
  <c r="N300" i="13"/>
  <c r="N298" i="13" s="1"/>
  <c r="M321" i="13"/>
  <c r="P321" i="13" s="1"/>
  <c r="P323" i="13"/>
  <c r="M317" i="13"/>
  <c r="P317" i="13" s="1"/>
  <c r="K379" i="10"/>
  <c r="L168" i="11"/>
  <c r="O168" i="11" s="1"/>
  <c r="L171" i="11"/>
  <c r="O171" i="11" s="1"/>
  <c r="M44" i="12"/>
  <c r="P44" i="12" s="1"/>
  <c r="K86" i="12"/>
  <c r="L94" i="12"/>
  <c r="O94" i="12" s="1"/>
  <c r="M43" i="13"/>
  <c r="M41" i="13" s="1"/>
  <c r="O46" i="13"/>
  <c r="O71" i="13"/>
  <c r="L90" i="13"/>
  <c r="N91" i="13"/>
  <c r="P91" i="13" s="1"/>
  <c r="O93" i="13"/>
  <c r="K116" i="13"/>
  <c r="N122" i="13"/>
  <c r="L121" i="13"/>
  <c r="O121" i="13" s="1"/>
  <c r="M135" i="13"/>
  <c r="P135" i="13" s="1"/>
  <c r="L228" i="12"/>
  <c r="O280" i="12"/>
  <c r="P303" i="12"/>
  <c r="I442" i="12"/>
  <c r="K442" i="12" s="1"/>
  <c r="L68" i="13"/>
  <c r="L66" i="13" s="1"/>
  <c r="O66" i="13" s="1"/>
  <c r="M90" i="13"/>
  <c r="P137" i="13"/>
  <c r="K176" i="13"/>
  <c r="I174" i="13"/>
  <c r="K174" i="13" s="1"/>
  <c r="M348" i="13"/>
  <c r="P348" i="13" s="1"/>
  <c r="N391" i="13"/>
  <c r="N389" i="13" s="1"/>
  <c r="O124" i="12"/>
  <c r="O127" i="12"/>
  <c r="M23" i="13"/>
  <c r="M13" i="13" s="1"/>
  <c r="N23" i="13"/>
  <c r="N21" i="13" s="1"/>
  <c r="I260" i="11"/>
  <c r="K260" i="11" s="1"/>
  <c r="M68" i="12"/>
  <c r="M66" i="12" s="1"/>
  <c r="N330" i="12"/>
  <c r="N328" i="12" s="1"/>
  <c r="L47" i="13"/>
  <c r="O47" i="13" s="1"/>
  <c r="L55" i="13"/>
  <c r="L53" i="13" s="1"/>
  <c r="M55" i="13"/>
  <c r="M53" i="13" s="1"/>
  <c r="P186" i="13"/>
  <c r="M184" i="13"/>
  <c r="P184" i="13" s="1"/>
  <c r="M183" i="13"/>
  <c r="P93" i="12"/>
  <c r="L231" i="12"/>
  <c r="I297" i="12"/>
  <c r="K297" i="12" s="1"/>
  <c r="I77" i="13"/>
  <c r="K87" i="13"/>
  <c r="M167" i="13"/>
  <c r="P173" i="13"/>
  <c r="M283" i="13"/>
  <c r="P283" i="13" s="1"/>
  <c r="K628" i="13"/>
  <c r="J721" i="13"/>
  <c r="K721" i="13" s="1"/>
  <c r="L151" i="13"/>
  <c r="O151" i="13" s="1"/>
  <c r="L209" i="13"/>
  <c r="O209" i="13" s="1"/>
  <c r="M330" i="13"/>
  <c r="M328" i="13" s="1"/>
  <c r="J355" i="13"/>
  <c r="K355" i="13" s="1"/>
  <c r="K374" i="13"/>
  <c r="N405" i="13"/>
  <c r="L546" i="13"/>
  <c r="L657" i="13"/>
  <c r="L687" i="13"/>
  <c r="L685" i="13" s="1"/>
  <c r="O685" i="13" s="1"/>
  <c r="O688" i="13"/>
  <c r="K821" i="13"/>
  <c r="K824" i="13"/>
  <c r="K827" i="13"/>
  <c r="L167" i="13"/>
  <c r="L198" i="13"/>
  <c r="O198" i="13" s="1"/>
  <c r="L404" i="13"/>
  <c r="O404" i="13" s="1"/>
  <c r="L429" i="13"/>
  <c r="O429" i="13" s="1"/>
  <c r="O634" i="13"/>
  <c r="K651" i="13"/>
  <c r="K672" i="13"/>
  <c r="O690" i="13"/>
  <c r="M304" i="13"/>
  <c r="P304" i="13" s="1"/>
  <c r="M392" i="13"/>
  <c r="P392" i="13" s="1"/>
  <c r="M395" i="13"/>
  <c r="P395" i="13" s="1"/>
  <c r="O157" i="13"/>
  <c r="O173" i="13"/>
  <c r="K255" i="13"/>
  <c r="O285" i="13"/>
  <c r="O350" i="13"/>
  <c r="P351" i="13"/>
  <c r="L421" i="13"/>
  <c r="O421" i="13" s="1"/>
  <c r="K443" i="13"/>
  <c r="I559" i="13"/>
  <c r="I543" i="13" s="1"/>
  <c r="K543" i="13" s="1"/>
  <c r="K723" i="13"/>
  <c r="K823" i="13"/>
  <c r="K649" i="11"/>
  <c r="P173" i="12"/>
  <c r="M171" i="12"/>
  <c r="P171" i="12" s="1"/>
  <c r="P56" i="13"/>
  <c r="M321" i="10"/>
  <c r="P321" i="10" s="1"/>
  <c r="P96" i="12"/>
  <c r="I654" i="11"/>
  <c r="K654" i="11" s="1"/>
  <c r="O46" i="12"/>
  <c r="N43" i="12"/>
  <c r="N41" i="12" s="1"/>
  <c r="M72" i="12"/>
  <c r="P72" i="12" s="1"/>
  <c r="O93" i="12"/>
  <c r="N152" i="12"/>
  <c r="N151" i="12"/>
  <c r="N149" i="12" s="1"/>
  <c r="K204" i="12"/>
  <c r="I197" i="12"/>
  <c r="K197" i="12" s="1"/>
  <c r="K729" i="8"/>
  <c r="I112" i="11"/>
  <c r="K112" i="11" s="1"/>
  <c r="O59" i="12"/>
  <c r="O19" i="13"/>
  <c r="N317" i="12"/>
  <c r="N315" i="12" s="1"/>
  <c r="I86" i="13"/>
  <c r="K86" i="13" s="1"/>
  <c r="K98" i="13"/>
  <c r="P124" i="13"/>
  <c r="M122" i="13"/>
  <c r="P122" i="13" s="1"/>
  <c r="L280" i="13"/>
  <c r="O282" i="13"/>
  <c r="L279" i="13"/>
  <c r="P390" i="13"/>
  <c r="L168" i="12"/>
  <c r="O168" i="12" s="1"/>
  <c r="L33" i="12"/>
  <c r="O33" i="12" s="1"/>
  <c r="K669" i="12"/>
  <c r="N12" i="13"/>
  <c r="L26" i="13"/>
  <c r="L24" i="13" s="1"/>
  <c r="O58" i="13"/>
  <c r="O89" i="13"/>
  <c r="I130" i="13"/>
  <c r="K130" i="13" s="1"/>
  <c r="O140" i="13"/>
  <c r="K145" i="13"/>
  <c r="L184" i="13"/>
  <c r="O184" i="13" s="1"/>
  <c r="L230" i="13"/>
  <c r="M263" i="13"/>
  <c r="M261" i="13" s="1"/>
  <c r="P316" i="13"/>
  <c r="N347" i="13"/>
  <c r="L230" i="12"/>
  <c r="O12" i="13"/>
  <c r="P22" i="13"/>
  <c r="M19" i="13"/>
  <c r="M12" i="13"/>
  <c r="M26" i="13"/>
  <c r="M30" i="13"/>
  <c r="N47" i="13"/>
  <c r="N26" i="13"/>
  <c r="N16" i="13" s="1"/>
  <c r="N14" i="13" s="1"/>
  <c r="O54" i="13"/>
  <c r="N55" i="13"/>
  <c r="N68" i="13"/>
  <c r="N66" i="13" s="1"/>
  <c r="M121" i="13"/>
  <c r="P121" i="13" s="1"/>
  <c r="M151" i="13"/>
  <c r="L183" i="13"/>
  <c r="K204" i="13"/>
  <c r="I197" i="13"/>
  <c r="K197" i="13" s="1"/>
  <c r="O266" i="13"/>
  <c r="L263" i="13"/>
  <c r="N279" i="13"/>
  <c r="N277" i="13" s="1"/>
  <c r="N280" i="13"/>
  <c r="P280" i="13" s="1"/>
  <c r="P303" i="13"/>
  <c r="M300" i="13"/>
  <c r="P300" i="13" s="1"/>
  <c r="M301" i="13"/>
  <c r="P301" i="13" s="1"/>
  <c r="I314" i="13"/>
  <c r="K314" i="13" s="1"/>
  <c r="O788" i="13"/>
  <c r="L786" i="13"/>
  <c r="O786" i="13" s="1"/>
  <c r="M263" i="12"/>
  <c r="M261" i="12" s="1"/>
  <c r="K381" i="12"/>
  <c r="M391" i="12"/>
  <c r="P391" i="12" s="1"/>
  <c r="L395" i="12"/>
  <c r="O395" i="12" s="1"/>
  <c r="L36" i="12"/>
  <c r="O36" i="12" s="1"/>
  <c r="M31" i="13"/>
  <c r="P31" i="13" s="1"/>
  <c r="P42" i="13"/>
  <c r="O49" i="13"/>
  <c r="P61" i="13"/>
  <c r="M59" i="13"/>
  <c r="P59" i="13" s="1"/>
  <c r="O137" i="13"/>
  <c r="I143" i="13"/>
  <c r="M155" i="13"/>
  <c r="P155" i="13" s="1"/>
  <c r="L264" i="13"/>
  <c r="P282" i="13"/>
  <c r="P299" i="13"/>
  <c r="L351" i="13"/>
  <c r="O351" i="13" s="1"/>
  <c r="O353" i="13"/>
  <c r="O154" i="12"/>
  <c r="N44" i="13"/>
  <c r="O44" i="13" s="1"/>
  <c r="P46" i="13"/>
  <c r="N263" i="13"/>
  <c r="N261" i="13" s="1"/>
  <c r="N264" i="13"/>
  <c r="P264" i="13" s="1"/>
  <c r="J143" i="12"/>
  <c r="J131" i="12" s="1"/>
  <c r="M187" i="12"/>
  <c r="P187" i="12" s="1"/>
  <c r="J327" i="12"/>
  <c r="K327" i="12" s="1"/>
  <c r="N348" i="12"/>
  <c r="O348" i="12" s="1"/>
  <c r="M404" i="12"/>
  <c r="P404" i="12" s="1"/>
  <c r="L408" i="12"/>
  <c r="O408" i="12" s="1"/>
  <c r="O549" i="12"/>
  <c r="L9" i="13"/>
  <c r="L23" i="13"/>
  <c r="O25" i="13"/>
  <c r="P32" i="13"/>
  <c r="P35" i="13"/>
  <c r="P58" i="13"/>
  <c r="K100" i="13"/>
  <c r="P120" i="13"/>
  <c r="M152" i="13"/>
  <c r="P152" i="13" s="1"/>
  <c r="O166" i="13"/>
  <c r="I208" i="13"/>
  <c r="K208" i="13" s="1"/>
  <c r="L238" i="13"/>
  <c r="I275" i="13"/>
  <c r="K275" i="13" s="1"/>
  <c r="M279" i="13"/>
  <c r="M277" i="13" s="1"/>
  <c r="L300" i="13"/>
  <c r="L304" i="13"/>
  <c r="O304" i="13" s="1"/>
  <c r="P329" i="13"/>
  <c r="L347" i="13"/>
  <c r="P266" i="13"/>
  <c r="N330" i="13"/>
  <c r="N328" i="13" s="1"/>
  <c r="L331" i="13"/>
  <c r="O331" i="13" s="1"/>
  <c r="O333" i="13"/>
  <c r="L330" i="13"/>
  <c r="L33" i="13"/>
  <c r="L31" i="13" s="1"/>
  <c r="O31" i="13" s="1"/>
  <c r="K340" i="13"/>
  <c r="P353" i="13"/>
  <c r="L477" i="13"/>
  <c r="O477" i="13" s="1"/>
  <c r="O479" i="13"/>
  <c r="L469" i="13"/>
  <c r="L639" i="13"/>
  <c r="O639" i="13" s="1"/>
  <c r="O641" i="13"/>
  <c r="L631" i="13"/>
  <c r="O631" i="13" s="1"/>
  <c r="O771" i="13"/>
  <c r="L770" i="13"/>
  <c r="O770" i="13" s="1"/>
  <c r="K785" i="13"/>
  <c r="L392" i="13"/>
  <c r="O392" i="13" s="1"/>
  <c r="O394" i="13"/>
  <c r="L395" i="13"/>
  <c r="O395" i="13" s="1"/>
  <c r="O397" i="13"/>
  <c r="I434" i="13"/>
  <c r="K438" i="13"/>
  <c r="J537" i="13"/>
  <c r="J522" i="13" s="1"/>
  <c r="K539" i="13"/>
  <c r="P739" i="13"/>
  <c r="M737" i="13"/>
  <c r="P737" i="13" s="1"/>
  <c r="L422" i="13"/>
  <c r="O422" i="13" s="1"/>
  <c r="O424" i="13"/>
  <c r="L447" i="13"/>
  <c r="O447" i="13" s="1"/>
  <c r="O449" i="13"/>
  <c r="P525" i="13"/>
  <c r="M523" i="13"/>
  <c r="P523" i="13" s="1"/>
  <c r="L789" i="13"/>
  <c r="O789" i="13" s="1"/>
  <c r="O791" i="13"/>
  <c r="O807" i="13"/>
  <c r="L805" i="13"/>
  <c r="O805" i="13" s="1"/>
  <c r="P350" i="13"/>
  <c r="I364" i="13"/>
  <c r="K365" i="13"/>
  <c r="O524" i="13"/>
  <c r="K647" i="13"/>
  <c r="K669" i="13"/>
  <c r="J722" i="13"/>
  <c r="K722" i="13" s="1"/>
  <c r="O738" i="13"/>
  <c r="L737" i="13"/>
  <c r="O737" i="13" s="1"/>
  <c r="P756" i="13"/>
  <c r="M754" i="13"/>
  <c r="P754" i="13" s="1"/>
  <c r="N807" i="13"/>
  <c r="N805" i="13" s="1"/>
  <c r="N808" i="13"/>
  <c r="K592" i="13"/>
  <c r="P772" i="13"/>
  <c r="M770" i="13"/>
  <c r="P770" i="13" s="1"/>
  <c r="N523" i="13"/>
  <c r="N526" i="13"/>
  <c r="O755" i="13"/>
  <c r="L754" i="13"/>
  <c r="O754" i="13" s="1"/>
  <c r="P403" i="13"/>
  <c r="L405" i="13"/>
  <c r="O405" i="13" s="1"/>
  <c r="L408" i="13"/>
  <c r="O408" i="13" s="1"/>
  <c r="O528" i="13"/>
  <c r="M419" i="13"/>
  <c r="J433" i="13"/>
  <c r="J417" i="13" s="1"/>
  <c r="M444" i="13"/>
  <c r="P444" i="13" s="1"/>
  <c r="L467" i="13"/>
  <c r="O467" i="13" s="1"/>
  <c r="N469" i="13"/>
  <c r="N467" i="13" s="1"/>
  <c r="N414" i="13" s="1"/>
  <c r="L502" i="13"/>
  <c r="O502" i="13" s="1"/>
  <c r="K675" i="13"/>
  <c r="M685" i="13"/>
  <c r="P685" i="13" s="1"/>
  <c r="K593" i="13"/>
  <c r="L470" i="8"/>
  <c r="O470" i="8" s="1"/>
  <c r="L90" i="10"/>
  <c r="L88" i="10" s="1"/>
  <c r="I216" i="11"/>
  <c r="K216" i="11" s="1"/>
  <c r="L72" i="12"/>
  <c r="O72" i="12" s="1"/>
  <c r="K100" i="12"/>
  <c r="M135" i="12"/>
  <c r="P135" i="12" s="1"/>
  <c r="P154" i="12"/>
  <c r="J288" i="12"/>
  <c r="K288" i="12" s="1"/>
  <c r="M300" i="12"/>
  <c r="M298" i="12" s="1"/>
  <c r="N321" i="12"/>
  <c r="L347" i="12"/>
  <c r="L345" i="12" s="1"/>
  <c r="K466" i="12"/>
  <c r="O634" i="12"/>
  <c r="K800" i="12"/>
  <c r="M122" i="11"/>
  <c r="P122" i="11" s="1"/>
  <c r="M134" i="11"/>
  <c r="M132" i="11" s="1"/>
  <c r="O186" i="12"/>
  <c r="L217" i="12"/>
  <c r="O217" i="12" s="1"/>
  <c r="N301" i="12"/>
  <c r="M304" i="12"/>
  <c r="P304" i="12" s="1"/>
  <c r="P336" i="12"/>
  <c r="K360" i="12"/>
  <c r="I434" i="12"/>
  <c r="K434" i="12" s="1"/>
  <c r="K649" i="12"/>
  <c r="L55" i="12"/>
  <c r="L138" i="12"/>
  <c r="O138" i="12" s="1"/>
  <c r="M134" i="12"/>
  <c r="P134" i="12" s="1"/>
  <c r="L167" i="12"/>
  <c r="L165" i="12" s="1"/>
  <c r="P186" i="12"/>
  <c r="L351" i="12"/>
  <c r="O351" i="12" s="1"/>
  <c r="M405" i="12"/>
  <c r="P405" i="12" s="1"/>
  <c r="O157" i="10"/>
  <c r="O61" i="12"/>
  <c r="O184" i="12"/>
  <c r="L209" i="12"/>
  <c r="O209" i="12" s="1"/>
  <c r="L238" i="12"/>
  <c r="O238" i="12" s="1"/>
  <c r="L283" i="12"/>
  <c r="O283" i="12" s="1"/>
  <c r="I314" i="12"/>
  <c r="K314" i="12" s="1"/>
  <c r="N391" i="12"/>
  <c r="N389" i="12" s="1"/>
  <c r="I654" i="12"/>
  <c r="K654" i="12" s="1"/>
  <c r="L657" i="12"/>
  <c r="L655" i="12" s="1"/>
  <c r="O655" i="12" s="1"/>
  <c r="L43" i="11"/>
  <c r="L41" i="11" s="1"/>
  <c r="K821" i="11"/>
  <c r="K824" i="11"/>
  <c r="K827" i="11"/>
  <c r="L121" i="12"/>
  <c r="L119" i="12" s="1"/>
  <c r="O119" i="12" s="1"/>
  <c r="L134" i="12"/>
  <c r="O134" i="12" s="1"/>
  <c r="L171" i="12"/>
  <c r="O171" i="12" s="1"/>
  <c r="L187" i="12"/>
  <c r="O187" i="12" s="1"/>
  <c r="K340" i="12"/>
  <c r="I364" i="12"/>
  <c r="M317" i="7"/>
  <c r="P317" i="7" s="1"/>
  <c r="N90" i="9"/>
  <c r="N88" i="9" s="1"/>
  <c r="N134" i="10"/>
  <c r="N132" i="10" s="1"/>
  <c r="K115" i="11"/>
  <c r="N134" i="11"/>
  <c r="N132" i="11" s="1"/>
  <c r="L229" i="11"/>
  <c r="N90" i="12"/>
  <c r="N88" i="12" s="1"/>
  <c r="K99" i="12"/>
  <c r="M125" i="12"/>
  <c r="P125" i="12" s="1"/>
  <c r="L152" i="12"/>
  <c r="N167" i="12"/>
  <c r="N165" i="12" s="1"/>
  <c r="K176" i="12"/>
  <c r="N183" i="12"/>
  <c r="N181" i="12" s="1"/>
  <c r="K271" i="12"/>
  <c r="M301" i="12"/>
  <c r="L334" i="12"/>
  <c r="O334" i="12" s="1"/>
  <c r="P350" i="12"/>
  <c r="K374" i="12"/>
  <c r="K440" i="12"/>
  <c r="L447" i="12"/>
  <c r="O447" i="12" s="1"/>
  <c r="L533" i="12"/>
  <c r="O533" i="12" s="1"/>
  <c r="O535" i="12"/>
  <c r="K540" i="12"/>
  <c r="J537" i="12"/>
  <c r="J522" i="12" s="1"/>
  <c r="J721" i="10"/>
  <c r="K460" i="11"/>
  <c r="L687" i="11"/>
  <c r="O687" i="11" s="1"/>
  <c r="O690" i="11"/>
  <c r="K823" i="11"/>
  <c r="M152" i="12"/>
  <c r="P170" i="12"/>
  <c r="L198" i="12"/>
  <c r="O198" i="12" s="1"/>
  <c r="L249" i="12"/>
  <c r="O249" i="12" s="1"/>
  <c r="P266" i="12"/>
  <c r="M317" i="12"/>
  <c r="P317" i="12" s="1"/>
  <c r="O323" i="12"/>
  <c r="K355" i="12"/>
  <c r="O449" i="12"/>
  <c r="L469" i="12"/>
  <c r="O469" i="12" s="1"/>
  <c r="M183" i="11"/>
  <c r="M181" i="11" s="1"/>
  <c r="M26" i="12"/>
  <c r="M24" i="12" s="1"/>
  <c r="I130" i="12"/>
  <c r="K130" i="12" s="1"/>
  <c r="O137" i="12"/>
  <c r="P140" i="12"/>
  <c r="P168" i="12"/>
  <c r="I248" i="12"/>
  <c r="K248" i="12" s="1"/>
  <c r="L392" i="12"/>
  <c r="O392" i="12" s="1"/>
  <c r="I559" i="12"/>
  <c r="L183" i="10"/>
  <c r="L181" i="10" s="1"/>
  <c r="K359" i="11"/>
  <c r="K369" i="11"/>
  <c r="N23" i="12"/>
  <c r="N21" i="12" s="1"/>
  <c r="M47" i="12"/>
  <c r="P47" i="12" s="1"/>
  <c r="N56" i="12"/>
  <c r="M91" i="12"/>
  <c r="P91" i="12" s="1"/>
  <c r="M184" i="12"/>
  <c r="P184" i="12" s="1"/>
  <c r="K260" i="12"/>
  <c r="O269" i="12"/>
  <c r="L279" i="12"/>
  <c r="L277" i="12" s="1"/>
  <c r="P280" i="12"/>
  <c r="M318" i="12"/>
  <c r="P318" i="12" s="1"/>
  <c r="O333" i="12"/>
  <c r="K338" i="12"/>
  <c r="O350" i="12"/>
  <c r="K378" i="12"/>
  <c r="K462" i="10"/>
  <c r="L231" i="11"/>
  <c r="K340" i="11"/>
  <c r="K378" i="11"/>
  <c r="K98" i="12"/>
  <c r="K174" i="12"/>
  <c r="L229" i="12"/>
  <c r="O282" i="12"/>
  <c r="L330" i="12"/>
  <c r="L328" i="12" s="1"/>
  <c r="K359" i="12"/>
  <c r="L391" i="12"/>
  <c r="O391" i="12" s="1"/>
  <c r="P397" i="12"/>
  <c r="L477" i="12"/>
  <c r="O477" i="12" s="1"/>
  <c r="K672" i="12"/>
  <c r="K651" i="12"/>
  <c r="K673" i="12"/>
  <c r="K821" i="12"/>
  <c r="K824" i="12"/>
  <c r="K827" i="12"/>
  <c r="J721" i="12"/>
  <c r="K822" i="12"/>
  <c r="K828" i="12"/>
  <c r="K647" i="12"/>
  <c r="K720" i="12"/>
  <c r="M28" i="12"/>
  <c r="P28" i="12" s="1"/>
  <c r="P29" i="12"/>
  <c r="K224" i="10"/>
  <c r="N68" i="11"/>
  <c r="N66" i="11" s="1"/>
  <c r="M72" i="11"/>
  <c r="P72" i="11" s="1"/>
  <c r="N151" i="11"/>
  <c r="N149" i="11" s="1"/>
  <c r="M19" i="12"/>
  <c r="N30" i="12"/>
  <c r="P35" i="12"/>
  <c r="L44" i="12"/>
  <c r="O44" i="12" s="1"/>
  <c r="O58" i="12"/>
  <c r="L56" i="12"/>
  <c r="N69" i="12"/>
  <c r="O69" i="12" s="1"/>
  <c r="P71" i="12"/>
  <c r="O71" i="12"/>
  <c r="N68" i="12"/>
  <c r="L90" i="12"/>
  <c r="K365" i="10"/>
  <c r="P58" i="12"/>
  <c r="M23" i="12"/>
  <c r="M21" i="12" s="1"/>
  <c r="M55" i="12"/>
  <c r="L43" i="10"/>
  <c r="L41" i="10" s="1"/>
  <c r="N347" i="10"/>
  <c r="N345" i="10" s="1"/>
  <c r="J364" i="11"/>
  <c r="K672" i="11"/>
  <c r="M15" i="12"/>
  <c r="P42" i="12"/>
  <c r="O49" i="12"/>
  <c r="L26" i="12"/>
  <c r="M56" i="12"/>
  <c r="L68" i="12"/>
  <c r="P124" i="12"/>
  <c r="M121" i="12"/>
  <c r="M122" i="12"/>
  <c r="P122" i="12" s="1"/>
  <c r="M279" i="11"/>
  <c r="M277" i="11" s="1"/>
  <c r="O12" i="12"/>
  <c r="L9" i="12"/>
  <c r="P33" i="12"/>
  <c r="M30" i="12"/>
  <c r="P30" i="12" s="1"/>
  <c r="P61" i="12"/>
  <c r="M59" i="12"/>
  <c r="P59" i="12" s="1"/>
  <c r="K143" i="12"/>
  <c r="I131" i="12"/>
  <c r="K131" i="12" s="1"/>
  <c r="P334" i="10"/>
  <c r="P71" i="11"/>
  <c r="O140" i="11"/>
  <c r="N183" i="11"/>
  <c r="N181" i="11" s="1"/>
  <c r="L238" i="11"/>
  <c r="O238" i="11" s="1"/>
  <c r="I276" i="11"/>
  <c r="K276" i="11" s="1"/>
  <c r="J327" i="11"/>
  <c r="K327" i="11" s="1"/>
  <c r="M347" i="11"/>
  <c r="M345" i="11" s="1"/>
  <c r="M392" i="11"/>
  <c r="P392" i="11" s="1"/>
  <c r="O394" i="11"/>
  <c r="M404" i="11"/>
  <c r="M402" i="11" s="1"/>
  <c r="P402" i="11" s="1"/>
  <c r="K675" i="11"/>
  <c r="M12" i="12"/>
  <c r="N26" i="12"/>
  <c r="N16" i="12" s="1"/>
  <c r="O32" i="12"/>
  <c r="L29" i="12"/>
  <c r="L47" i="12"/>
  <c r="O47" i="12" s="1"/>
  <c r="J87" i="12"/>
  <c r="K87" i="12" s="1"/>
  <c r="O89" i="12"/>
  <c r="L68" i="11"/>
  <c r="L66" i="11" s="1"/>
  <c r="M330" i="11"/>
  <c r="M328" i="11" s="1"/>
  <c r="O25" i="12"/>
  <c r="L15" i="12"/>
  <c r="M31" i="12"/>
  <c r="P31" i="12" s="1"/>
  <c r="L43" i="12"/>
  <c r="L23" i="12"/>
  <c r="N15" i="12"/>
  <c r="N29" i="12"/>
  <c r="N28" i="12" s="1"/>
  <c r="P67" i="12"/>
  <c r="I77" i="12"/>
  <c r="O91" i="12"/>
  <c r="I112" i="12"/>
  <c r="K112" i="12" s="1"/>
  <c r="K144" i="12"/>
  <c r="L155" i="12"/>
  <c r="O155" i="12" s="1"/>
  <c r="K159" i="12"/>
  <c r="L263" i="12"/>
  <c r="L261" i="12" s="1"/>
  <c r="N264" i="12"/>
  <c r="P346" i="12"/>
  <c r="K369" i="12"/>
  <c r="P419" i="12"/>
  <c r="M502" i="12"/>
  <c r="P502" i="12" s="1"/>
  <c r="P504" i="12"/>
  <c r="O788" i="12"/>
  <c r="L786" i="12"/>
  <c r="O786" i="12" s="1"/>
  <c r="O303" i="12"/>
  <c r="L301" i="12"/>
  <c r="J365" i="12"/>
  <c r="K372" i="12"/>
  <c r="O390" i="12"/>
  <c r="O468" i="12"/>
  <c r="N134" i="12"/>
  <c r="N132" i="12" s="1"/>
  <c r="K145" i="12"/>
  <c r="M167" i="12"/>
  <c r="K244" i="12"/>
  <c r="I237" i="12"/>
  <c r="N263" i="12"/>
  <c r="N261" i="12" s="1"/>
  <c r="O266" i="12"/>
  <c r="M331" i="12"/>
  <c r="P333" i="12"/>
  <c r="O346" i="12"/>
  <c r="M351" i="12"/>
  <c r="P351" i="12" s="1"/>
  <c r="P353" i="12"/>
  <c r="L405" i="12"/>
  <c r="O405" i="12" s="1"/>
  <c r="L151" i="12"/>
  <c r="L183" i="12"/>
  <c r="I190" i="12"/>
  <c r="K190" i="12" s="1"/>
  <c r="M279" i="12"/>
  <c r="I76" i="12"/>
  <c r="M151" i="12"/>
  <c r="M183" i="12"/>
  <c r="I216" i="12"/>
  <c r="K216" i="12" s="1"/>
  <c r="N279" i="12"/>
  <c r="P285" i="12"/>
  <c r="L300" i="12"/>
  <c r="O306" i="12"/>
  <c r="L304" i="12"/>
  <c r="O304" i="12" s="1"/>
  <c r="O329" i="12"/>
  <c r="N331" i="12"/>
  <c r="O331" i="12" s="1"/>
  <c r="M347" i="12"/>
  <c r="K379" i="12"/>
  <c r="P390" i="12"/>
  <c r="O407" i="12"/>
  <c r="O166" i="12"/>
  <c r="P282" i="12"/>
  <c r="P316" i="12"/>
  <c r="L318" i="12"/>
  <c r="O318" i="12" s="1"/>
  <c r="O320" i="12"/>
  <c r="O424" i="12"/>
  <c r="N422" i="12"/>
  <c r="O422" i="12" s="1"/>
  <c r="P394" i="12"/>
  <c r="N404" i="12"/>
  <c r="N402" i="12" s="1"/>
  <c r="L429" i="12"/>
  <c r="O429" i="12" s="1"/>
  <c r="O431" i="12"/>
  <c r="L421" i="12"/>
  <c r="O421" i="12" s="1"/>
  <c r="K435" i="12"/>
  <c r="J433" i="12"/>
  <c r="J417" i="12" s="1"/>
  <c r="K417" i="12" s="1"/>
  <c r="I443" i="12"/>
  <c r="K443" i="12" s="1"/>
  <c r="M444" i="12"/>
  <c r="P444" i="12" s="1"/>
  <c r="O472" i="12"/>
  <c r="L470" i="12"/>
  <c r="L502" i="12"/>
  <c r="O502" i="12" s="1"/>
  <c r="L639" i="12"/>
  <c r="O639" i="12" s="1"/>
  <c r="O641" i="12"/>
  <c r="L631" i="12"/>
  <c r="J722" i="12"/>
  <c r="O738" i="12"/>
  <c r="L737" i="12"/>
  <c r="O737" i="12" s="1"/>
  <c r="P756" i="12"/>
  <c r="M754" i="12"/>
  <c r="P754" i="12" s="1"/>
  <c r="L789" i="12"/>
  <c r="O789" i="12" s="1"/>
  <c r="O791" i="12"/>
  <c r="O807" i="12"/>
  <c r="L805" i="12"/>
  <c r="O805" i="12" s="1"/>
  <c r="N807" i="12"/>
  <c r="N805" i="12" s="1"/>
  <c r="N414" i="12" s="1"/>
  <c r="N808" i="12"/>
  <c r="I522" i="12"/>
  <c r="K522" i="12" s="1"/>
  <c r="K537" i="12"/>
  <c r="O755" i="12"/>
  <c r="L754" i="12"/>
  <c r="O754" i="12" s="1"/>
  <c r="P772" i="12"/>
  <c r="M770" i="12"/>
  <c r="P770" i="12" s="1"/>
  <c r="L454" i="12"/>
  <c r="O454" i="12" s="1"/>
  <c r="O456" i="12"/>
  <c r="L446" i="12"/>
  <c r="N470" i="12"/>
  <c r="K370" i="12"/>
  <c r="L525" i="12"/>
  <c r="O528" i="12"/>
  <c r="P739" i="12"/>
  <c r="M737" i="12"/>
  <c r="P737" i="12" s="1"/>
  <c r="O771" i="12"/>
  <c r="L770" i="12"/>
  <c r="O770" i="12" s="1"/>
  <c r="K785" i="12"/>
  <c r="L555" i="12"/>
  <c r="O555" i="12" s="1"/>
  <c r="K675" i="12"/>
  <c r="M685" i="12"/>
  <c r="P685" i="12" s="1"/>
  <c r="L546" i="12"/>
  <c r="K593" i="12"/>
  <c r="O74" i="10"/>
  <c r="L72" i="10"/>
  <c r="O72" i="10" s="1"/>
  <c r="I297" i="6"/>
  <c r="K297" i="6" s="1"/>
  <c r="P91" i="11"/>
  <c r="N94" i="11"/>
  <c r="N90" i="11"/>
  <c r="N88" i="11" s="1"/>
  <c r="N263" i="11"/>
  <c r="N261" i="11" s="1"/>
  <c r="K355" i="11"/>
  <c r="O333" i="11"/>
  <c r="N331" i="11"/>
  <c r="P331" i="11" s="1"/>
  <c r="O306" i="11"/>
  <c r="L304" i="11"/>
  <c r="O304" i="11" s="1"/>
  <c r="P125" i="11"/>
  <c r="L301" i="11"/>
  <c r="O301" i="11" s="1"/>
  <c r="L300" i="11"/>
  <c r="L298" i="11" s="1"/>
  <c r="L347" i="9"/>
  <c r="L345" i="9" s="1"/>
  <c r="M391" i="10"/>
  <c r="P391" i="10" s="1"/>
  <c r="M47" i="11"/>
  <c r="P47" i="11" s="1"/>
  <c r="O127" i="11"/>
  <c r="P173" i="11"/>
  <c r="P266" i="11"/>
  <c r="M283" i="11"/>
  <c r="P283" i="11" s="1"/>
  <c r="P285" i="11"/>
  <c r="M334" i="11"/>
  <c r="P334" i="11" s="1"/>
  <c r="K360" i="11"/>
  <c r="K372" i="11"/>
  <c r="K379" i="11"/>
  <c r="N404" i="11"/>
  <c r="N402" i="11" s="1"/>
  <c r="L36" i="11"/>
  <c r="O36" i="11" s="1"/>
  <c r="L454" i="11"/>
  <c r="O454" i="11" s="1"/>
  <c r="L167" i="10"/>
  <c r="L165" i="10" s="1"/>
  <c r="P59" i="11"/>
  <c r="P137" i="11"/>
  <c r="P140" i="11"/>
  <c r="L198" i="11"/>
  <c r="O198" i="11" s="1"/>
  <c r="O269" i="11"/>
  <c r="O410" i="11"/>
  <c r="O186" i="11"/>
  <c r="L631" i="11"/>
  <c r="O631" i="11" s="1"/>
  <c r="L183" i="11"/>
  <c r="P186" i="11"/>
  <c r="O266" i="11"/>
  <c r="P282" i="11"/>
  <c r="K362" i="11"/>
  <c r="K381" i="11"/>
  <c r="M391" i="11"/>
  <c r="P391" i="11" s="1"/>
  <c r="P44" i="11"/>
  <c r="P127" i="11"/>
  <c r="P333" i="11"/>
  <c r="O323" i="11"/>
  <c r="L321" i="11"/>
  <c r="O321" i="11" s="1"/>
  <c r="L263" i="9"/>
  <c r="I276" i="10"/>
  <c r="K276" i="10" s="1"/>
  <c r="K369" i="10"/>
  <c r="O93" i="11"/>
  <c r="L91" i="11"/>
  <c r="O91" i="11" s="1"/>
  <c r="M168" i="11"/>
  <c r="P168" i="11" s="1"/>
  <c r="P170" i="11"/>
  <c r="M68" i="9"/>
  <c r="M66" i="9" s="1"/>
  <c r="L90" i="9"/>
  <c r="L88" i="9" s="1"/>
  <c r="L184" i="10"/>
  <c r="O186" i="10"/>
  <c r="N348" i="10"/>
  <c r="O348" i="10" s="1"/>
  <c r="L525" i="10"/>
  <c r="O525" i="10" s="1"/>
  <c r="M43" i="11"/>
  <c r="L90" i="11"/>
  <c r="N122" i="11"/>
  <c r="N121" i="11"/>
  <c r="N119" i="11" s="1"/>
  <c r="N348" i="11"/>
  <c r="P348" i="11" s="1"/>
  <c r="N347" i="11"/>
  <c r="P353" i="11"/>
  <c r="M351" i="11"/>
  <c r="P351" i="11" s="1"/>
  <c r="K365" i="11"/>
  <c r="I364" i="11"/>
  <c r="N408" i="11"/>
  <c r="I208" i="11"/>
  <c r="K208" i="11" s="1"/>
  <c r="K215" i="11"/>
  <c r="L317" i="11"/>
  <c r="L318" i="11"/>
  <c r="O318" i="11" s="1"/>
  <c r="I522" i="9"/>
  <c r="K522" i="9" s="1"/>
  <c r="L36" i="10"/>
  <c r="O36" i="10" s="1"/>
  <c r="N184" i="10"/>
  <c r="L187" i="10"/>
  <c r="O187" i="10" s="1"/>
  <c r="N183" i="10"/>
  <c r="N181" i="10" s="1"/>
  <c r="I364" i="10"/>
  <c r="K381" i="10"/>
  <c r="P46" i="11"/>
  <c r="N47" i="11"/>
  <c r="N26" i="11"/>
  <c r="N16" i="11" s="1"/>
  <c r="M55" i="11"/>
  <c r="N56" i="11"/>
  <c r="P56" i="11" s="1"/>
  <c r="N55" i="11"/>
  <c r="N53" i="11" s="1"/>
  <c r="M69" i="11"/>
  <c r="P69" i="11" s="1"/>
  <c r="M68" i="11"/>
  <c r="P135" i="11"/>
  <c r="M138" i="11"/>
  <c r="P138" i="11" s="1"/>
  <c r="L151" i="11"/>
  <c r="O151" i="11" s="1"/>
  <c r="O285" i="11"/>
  <c r="L279" i="11"/>
  <c r="J288" i="11"/>
  <c r="J275" i="11" s="1"/>
  <c r="K275" i="11" s="1"/>
  <c r="I297" i="11"/>
  <c r="K297" i="11" s="1"/>
  <c r="O320" i="11"/>
  <c r="O350" i="11"/>
  <c r="O397" i="11"/>
  <c r="I433" i="11"/>
  <c r="I417" i="11" s="1"/>
  <c r="I87" i="11"/>
  <c r="K87" i="11" s="1"/>
  <c r="K99" i="11"/>
  <c r="L135" i="11"/>
  <c r="O135" i="11" s="1"/>
  <c r="L134" i="11"/>
  <c r="O137" i="11"/>
  <c r="O397" i="10"/>
  <c r="L395" i="10"/>
  <c r="O395" i="10" s="1"/>
  <c r="L56" i="11"/>
  <c r="L23" i="11"/>
  <c r="K204" i="11"/>
  <c r="N392" i="11"/>
  <c r="N391" i="11"/>
  <c r="N389" i="11" s="1"/>
  <c r="O61" i="9"/>
  <c r="L533" i="9"/>
  <c r="O533" i="9" s="1"/>
  <c r="M395" i="10"/>
  <c r="P395" i="10" s="1"/>
  <c r="L94" i="11"/>
  <c r="O94" i="11" s="1"/>
  <c r="M184" i="11"/>
  <c r="P184" i="11" s="1"/>
  <c r="M187" i="11"/>
  <c r="P187" i="11" s="1"/>
  <c r="I190" i="11"/>
  <c r="K190" i="11" s="1"/>
  <c r="L230" i="11"/>
  <c r="N280" i="11"/>
  <c r="O280" i="11" s="1"/>
  <c r="N279" i="11"/>
  <c r="N277" i="11" s="1"/>
  <c r="O353" i="11"/>
  <c r="L405" i="11"/>
  <c r="O405" i="11" s="1"/>
  <c r="L404" i="11"/>
  <c r="O404" i="11" s="1"/>
  <c r="J433" i="11"/>
  <c r="J417" i="11" s="1"/>
  <c r="L555" i="11"/>
  <c r="O555" i="11" s="1"/>
  <c r="L546" i="11"/>
  <c r="L544" i="11" s="1"/>
  <c r="L657" i="11"/>
  <c r="L264" i="11"/>
  <c r="O264" i="11" s="1"/>
  <c r="L263" i="11"/>
  <c r="N300" i="11"/>
  <c r="N298" i="11" s="1"/>
  <c r="O303" i="11"/>
  <c r="P303" i="11"/>
  <c r="M317" i="11"/>
  <c r="P317" i="11" s="1"/>
  <c r="P397" i="11"/>
  <c r="M395" i="11"/>
  <c r="P395" i="11" s="1"/>
  <c r="L429" i="11"/>
  <c r="O429" i="11" s="1"/>
  <c r="L421" i="11"/>
  <c r="O431" i="11"/>
  <c r="L217" i="11"/>
  <c r="O217" i="11" s="1"/>
  <c r="M300" i="11"/>
  <c r="M298" i="11" s="1"/>
  <c r="P301" i="11"/>
  <c r="L477" i="11"/>
  <c r="O477" i="11" s="1"/>
  <c r="O479" i="11"/>
  <c r="N43" i="11"/>
  <c r="N41" i="11" s="1"/>
  <c r="I76" i="11"/>
  <c r="I64" i="11" s="1"/>
  <c r="K64" i="11" s="1"/>
  <c r="I148" i="11"/>
  <c r="K148" i="11" s="1"/>
  <c r="N167" i="11"/>
  <c r="N165" i="11" s="1"/>
  <c r="O170" i="11"/>
  <c r="I174" i="11"/>
  <c r="K174" i="11" s="1"/>
  <c r="L209" i="11"/>
  <c r="O209" i="11" s="1"/>
  <c r="N330" i="11"/>
  <c r="L347" i="11"/>
  <c r="L391" i="11"/>
  <c r="I443" i="11"/>
  <c r="K443" i="11" s="1"/>
  <c r="K651" i="11"/>
  <c r="J722" i="11"/>
  <c r="K649" i="10"/>
  <c r="P264" i="11"/>
  <c r="K673" i="11"/>
  <c r="K568" i="10"/>
  <c r="L657" i="10"/>
  <c r="O657" i="10" s="1"/>
  <c r="N23" i="11"/>
  <c r="N21" i="11" s="1"/>
  <c r="O46" i="11"/>
  <c r="O61" i="11"/>
  <c r="O71" i="11"/>
  <c r="O138" i="11"/>
  <c r="L228" i="11"/>
  <c r="O282" i="11"/>
  <c r="P350" i="11"/>
  <c r="K385" i="11"/>
  <c r="K669" i="11"/>
  <c r="J721" i="11"/>
  <c r="K822" i="11"/>
  <c r="K828" i="11"/>
  <c r="M9" i="11"/>
  <c r="P15" i="11"/>
  <c r="L477" i="7"/>
  <c r="O477" i="7" s="1"/>
  <c r="L26" i="11"/>
  <c r="L47" i="11"/>
  <c r="O47" i="11" s="1"/>
  <c r="O120" i="11"/>
  <c r="O788" i="11"/>
  <c r="L786" i="11"/>
  <c r="O786" i="11" s="1"/>
  <c r="L68" i="8"/>
  <c r="L66" i="8" s="1"/>
  <c r="N347" i="8"/>
  <c r="N345" i="8" s="1"/>
  <c r="O140" i="10"/>
  <c r="M171" i="10"/>
  <c r="P171" i="10" s="1"/>
  <c r="K385" i="10"/>
  <c r="O549" i="10"/>
  <c r="K593" i="10"/>
  <c r="K824" i="10"/>
  <c r="N15" i="11"/>
  <c r="O54" i="11"/>
  <c r="K98" i="11"/>
  <c r="M151" i="11"/>
  <c r="L152" i="11"/>
  <c r="O152" i="11" s="1"/>
  <c r="O154" i="11"/>
  <c r="M267" i="11"/>
  <c r="P267" i="11" s="1"/>
  <c r="P269" i="11"/>
  <c r="L334" i="11"/>
  <c r="O334" i="11" s="1"/>
  <c r="O336" i="11"/>
  <c r="M405" i="11"/>
  <c r="P405" i="11" s="1"/>
  <c r="P407" i="11"/>
  <c r="L639" i="11"/>
  <c r="O639" i="11" s="1"/>
  <c r="O641" i="11"/>
  <c r="O738" i="11"/>
  <c r="L737" i="11"/>
  <c r="O737" i="11" s="1"/>
  <c r="P756" i="11"/>
  <c r="M754" i="11"/>
  <c r="P754" i="11" s="1"/>
  <c r="L789" i="11"/>
  <c r="O789" i="11" s="1"/>
  <c r="O791" i="11"/>
  <c r="O807" i="11"/>
  <c r="L805" i="11"/>
  <c r="O805" i="11" s="1"/>
  <c r="I559" i="8"/>
  <c r="K559" i="8" s="1"/>
  <c r="O127" i="9"/>
  <c r="M279" i="10"/>
  <c r="M277" i="10" s="1"/>
  <c r="K592" i="10"/>
  <c r="P19" i="11"/>
  <c r="N30" i="11"/>
  <c r="N29" i="11"/>
  <c r="N31" i="11"/>
  <c r="P58" i="11"/>
  <c r="M23" i="11"/>
  <c r="M21" i="11" s="1"/>
  <c r="P93" i="11"/>
  <c r="L155" i="11"/>
  <c r="O155" i="11" s="1"/>
  <c r="O157" i="11"/>
  <c r="K255" i="11"/>
  <c r="I654" i="9"/>
  <c r="K654" i="9" s="1"/>
  <c r="M183" i="10"/>
  <c r="M181" i="10" s="1"/>
  <c r="O353" i="10"/>
  <c r="O410" i="10"/>
  <c r="L546" i="10"/>
  <c r="L544" i="10" s="1"/>
  <c r="O544" i="10" s="1"/>
  <c r="L631" i="10"/>
  <c r="O631" i="10" s="1"/>
  <c r="N12" i="11"/>
  <c r="P25" i="11"/>
  <c r="P35" i="11"/>
  <c r="O44" i="11"/>
  <c r="O49" i="11"/>
  <c r="I77" i="11"/>
  <c r="L121" i="11"/>
  <c r="O124" i="11"/>
  <c r="O125" i="11"/>
  <c r="J143" i="11"/>
  <c r="J131" i="11" s="1"/>
  <c r="K145" i="11"/>
  <c r="I143" i="11"/>
  <c r="O150" i="11"/>
  <c r="M152" i="11"/>
  <c r="P152" i="11" s="1"/>
  <c r="L184" i="11"/>
  <c r="O184" i="11" s="1"/>
  <c r="I233" i="11"/>
  <c r="K233" i="11" s="1"/>
  <c r="L330" i="11"/>
  <c r="L470" i="11"/>
  <c r="O470" i="11" s="1"/>
  <c r="O472" i="11"/>
  <c r="L469" i="11"/>
  <c r="L33" i="11"/>
  <c r="I143" i="10"/>
  <c r="I131" i="10" s="1"/>
  <c r="K359" i="10"/>
  <c r="K362" i="10"/>
  <c r="P410" i="10"/>
  <c r="I434" i="10"/>
  <c r="K434" i="10" s="1"/>
  <c r="K823" i="10"/>
  <c r="M29" i="11"/>
  <c r="M31" i="11"/>
  <c r="P31" i="11" s="1"/>
  <c r="L55" i="11"/>
  <c r="O58" i="11"/>
  <c r="O59" i="11"/>
  <c r="O69" i="11"/>
  <c r="O74" i="11"/>
  <c r="M90" i="11"/>
  <c r="P96" i="11"/>
  <c r="K111" i="11"/>
  <c r="M121" i="11"/>
  <c r="M155" i="11"/>
  <c r="P155" i="11" s="1"/>
  <c r="L187" i="11"/>
  <c r="O187" i="11" s="1"/>
  <c r="N321" i="11"/>
  <c r="N317" i="11"/>
  <c r="N315" i="11" s="1"/>
  <c r="P56" i="9"/>
  <c r="L404" i="10"/>
  <c r="O404" i="10" s="1"/>
  <c r="M26" i="11"/>
  <c r="M24" i="11" s="1"/>
  <c r="P61" i="11"/>
  <c r="O299" i="11"/>
  <c r="N444" i="11"/>
  <c r="N446" i="11"/>
  <c r="N447" i="11"/>
  <c r="O403" i="11"/>
  <c r="M408" i="11"/>
  <c r="P408" i="11" s="1"/>
  <c r="P410" i="11"/>
  <c r="K442" i="11"/>
  <c r="O504" i="11"/>
  <c r="L502" i="11"/>
  <c r="O502" i="11" s="1"/>
  <c r="P524" i="11"/>
  <c r="M523" i="11"/>
  <c r="P523" i="11" s="1"/>
  <c r="I522" i="11"/>
  <c r="K522" i="11" s="1"/>
  <c r="K537" i="11"/>
  <c r="N807" i="11"/>
  <c r="N805" i="11" s="1"/>
  <c r="N808" i="11"/>
  <c r="O351" i="11"/>
  <c r="N504" i="11"/>
  <c r="N502" i="11" s="1"/>
  <c r="N505" i="11"/>
  <c r="K561" i="11"/>
  <c r="K559" i="11"/>
  <c r="I543" i="11"/>
  <c r="K543" i="11" s="1"/>
  <c r="O755" i="11"/>
  <c r="L754" i="11"/>
  <c r="O754" i="11" s="1"/>
  <c r="P772" i="11"/>
  <c r="M770" i="11"/>
  <c r="P770" i="11" s="1"/>
  <c r="K146" i="11"/>
  <c r="I237" i="11"/>
  <c r="L249" i="11"/>
  <c r="O249" i="11" s="1"/>
  <c r="K338" i="11"/>
  <c r="K374" i="11"/>
  <c r="K466" i="11"/>
  <c r="N546" i="11"/>
  <c r="N544" i="11" s="1"/>
  <c r="N547" i="11"/>
  <c r="J592" i="11"/>
  <c r="K592" i="11" s="1"/>
  <c r="K593" i="11"/>
  <c r="K647" i="11"/>
  <c r="L12" i="11"/>
  <c r="L19" i="11"/>
  <c r="M263" i="11"/>
  <c r="P278" i="11"/>
  <c r="P306" i="11"/>
  <c r="I314" i="11"/>
  <c r="K314" i="11" s="1"/>
  <c r="P419" i="11"/>
  <c r="O449" i="11"/>
  <c r="K577" i="11"/>
  <c r="L632" i="11"/>
  <c r="O632" i="11" s="1"/>
  <c r="O634" i="11"/>
  <c r="P739" i="11"/>
  <c r="M737" i="11"/>
  <c r="P737" i="11" s="1"/>
  <c r="O771" i="11"/>
  <c r="L770" i="11"/>
  <c r="O770" i="11" s="1"/>
  <c r="M318" i="11"/>
  <c r="P318" i="11" s="1"/>
  <c r="M321" i="11"/>
  <c r="P321" i="11" s="1"/>
  <c r="O329" i="11"/>
  <c r="J537" i="11"/>
  <c r="J522" i="11" s="1"/>
  <c r="L547" i="11"/>
  <c r="O547" i="11" s="1"/>
  <c r="L422" i="11"/>
  <c r="O422" i="11" s="1"/>
  <c r="I434" i="11"/>
  <c r="L447" i="11"/>
  <c r="O447" i="11" s="1"/>
  <c r="L533" i="11"/>
  <c r="O533" i="11" s="1"/>
  <c r="L525" i="11"/>
  <c r="M545" i="11"/>
  <c r="K576" i="11"/>
  <c r="I628" i="11"/>
  <c r="K628" i="11" s="1"/>
  <c r="P124" i="9"/>
  <c r="M122" i="9"/>
  <c r="P122" i="9" s="1"/>
  <c r="P154" i="10"/>
  <c r="M152" i="10"/>
  <c r="P152" i="10" s="1"/>
  <c r="N347" i="7"/>
  <c r="N345" i="7" s="1"/>
  <c r="N121" i="9"/>
  <c r="N119" i="9" s="1"/>
  <c r="N167" i="9"/>
  <c r="N165" i="9" s="1"/>
  <c r="K672" i="10"/>
  <c r="K673" i="10"/>
  <c r="O46" i="10"/>
  <c r="L44" i="10"/>
  <c r="K438" i="9"/>
  <c r="I434" i="9"/>
  <c r="K434" i="9" s="1"/>
  <c r="K460" i="9"/>
  <c r="L477" i="9"/>
  <c r="O477" i="9" s="1"/>
  <c r="N44" i="10"/>
  <c r="P44" i="10" s="1"/>
  <c r="P46" i="10"/>
  <c r="M125" i="10"/>
  <c r="P125" i="10" s="1"/>
  <c r="M155" i="10"/>
  <c r="P155" i="10" s="1"/>
  <c r="J288" i="10"/>
  <c r="J275" i="10" s="1"/>
  <c r="K275" i="10" s="1"/>
  <c r="I297" i="10"/>
  <c r="K297" i="10" s="1"/>
  <c r="K651" i="10"/>
  <c r="J628" i="10"/>
  <c r="K628" i="10" s="1"/>
  <c r="O472" i="10"/>
  <c r="L470" i="10"/>
  <c r="O470" i="10" s="1"/>
  <c r="P285" i="8"/>
  <c r="L687" i="8"/>
  <c r="O687" i="8" s="1"/>
  <c r="O690" i="8"/>
  <c r="L43" i="9"/>
  <c r="L41" i="9" s="1"/>
  <c r="M55" i="9"/>
  <c r="M53" i="9" s="1"/>
  <c r="O157" i="9"/>
  <c r="M187" i="9"/>
  <c r="P187" i="9" s="1"/>
  <c r="L348" i="9"/>
  <c r="O348" i="9" s="1"/>
  <c r="L657" i="9"/>
  <c r="N43" i="10"/>
  <c r="N41" i="10" s="1"/>
  <c r="L47" i="10"/>
  <c r="O47" i="10" s="1"/>
  <c r="O127" i="10"/>
  <c r="M134" i="10"/>
  <c r="O394" i="10"/>
  <c r="L391" i="10"/>
  <c r="O391" i="10" s="1"/>
  <c r="L94" i="9"/>
  <c r="O94" i="9" s="1"/>
  <c r="O173" i="9"/>
  <c r="L171" i="9"/>
  <c r="O171" i="9" s="1"/>
  <c r="P138" i="10"/>
  <c r="K159" i="10"/>
  <c r="I148" i="10"/>
  <c r="K148" i="10" s="1"/>
  <c r="L263" i="10"/>
  <c r="L261" i="10" s="1"/>
  <c r="L351" i="10"/>
  <c r="O351" i="10" s="1"/>
  <c r="P394" i="10"/>
  <c r="M392" i="10"/>
  <c r="P392" i="10" s="1"/>
  <c r="K370" i="8"/>
  <c r="O71" i="9"/>
  <c r="K649" i="9"/>
  <c r="N135" i="10"/>
  <c r="P135" i="10" s="1"/>
  <c r="O137" i="10"/>
  <c r="N263" i="10"/>
  <c r="N261" i="10" s="1"/>
  <c r="O269" i="10"/>
  <c r="O323" i="10"/>
  <c r="L321" i="10"/>
  <c r="O321" i="10" s="1"/>
  <c r="L405" i="10"/>
  <c r="O405" i="10" s="1"/>
  <c r="O407" i="10"/>
  <c r="L134" i="9"/>
  <c r="L132" i="9" s="1"/>
  <c r="M317" i="9"/>
  <c r="P317" i="9" s="1"/>
  <c r="N317" i="9"/>
  <c r="N315" i="9" s="1"/>
  <c r="K647" i="9"/>
  <c r="J327" i="10"/>
  <c r="K327" i="10" s="1"/>
  <c r="K370" i="10"/>
  <c r="K378" i="10"/>
  <c r="K822" i="10"/>
  <c r="K369" i="9"/>
  <c r="K100" i="10"/>
  <c r="J143" i="10"/>
  <c r="J131" i="10" s="1"/>
  <c r="L198" i="10"/>
  <c r="O198" i="10" s="1"/>
  <c r="L209" i="10"/>
  <c r="O209" i="10" s="1"/>
  <c r="L217" i="10"/>
  <c r="O217" i="10" s="1"/>
  <c r="O336" i="10"/>
  <c r="L347" i="10"/>
  <c r="L345" i="10" s="1"/>
  <c r="K647" i="10"/>
  <c r="P168" i="10"/>
  <c r="N167" i="10"/>
  <c r="N165" i="10" s="1"/>
  <c r="O266" i="10"/>
  <c r="P331" i="10"/>
  <c r="N330" i="10"/>
  <c r="N328" i="10" s="1"/>
  <c r="K360" i="10"/>
  <c r="O71" i="10"/>
  <c r="L68" i="10"/>
  <c r="O306" i="10"/>
  <c r="L304" i="10"/>
  <c r="O304" i="10" s="1"/>
  <c r="M330" i="7"/>
  <c r="M328" i="7" s="1"/>
  <c r="M59" i="9"/>
  <c r="P59" i="9" s="1"/>
  <c r="N122" i="9"/>
  <c r="N125" i="9"/>
  <c r="O125" i="9" s="1"/>
  <c r="M152" i="9"/>
  <c r="P152" i="9" s="1"/>
  <c r="M155" i="9"/>
  <c r="P155" i="9" s="1"/>
  <c r="P266" i="9"/>
  <c r="K340" i="9"/>
  <c r="K821" i="9"/>
  <c r="K824" i="9"/>
  <c r="K827" i="9"/>
  <c r="M47" i="10"/>
  <c r="P47" i="10" s="1"/>
  <c r="N68" i="10"/>
  <c r="N66" i="10" s="1"/>
  <c r="I76" i="10"/>
  <c r="I64" i="10" s="1"/>
  <c r="K64" i="10" s="1"/>
  <c r="I87" i="10"/>
  <c r="K87" i="10" s="1"/>
  <c r="K99" i="10"/>
  <c r="L300" i="10"/>
  <c r="L298" i="10" s="1"/>
  <c r="P333" i="10"/>
  <c r="M330" i="10"/>
  <c r="N391" i="10"/>
  <c r="N389" i="10" s="1"/>
  <c r="N395" i="10"/>
  <c r="N404" i="10"/>
  <c r="N402" i="10" s="1"/>
  <c r="N405" i="10"/>
  <c r="J433" i="10"/>
  <c r="I433" i="10"/>
  <c r="I417" i="10" s="1"/>
  <c r="K435" i="10"/>
  <c r="I522" i="10"/>
  <c r="K522" i="10" s="1"/>
  <c r="K537" i="10"/>
  <c r="L90" i="6"/>
  <c r="L88" i="6" s="1"/>
  <c r="M138" i="8"/>
  <c r="P138" i="8" s="1"/>
  <c r="I190" i="8"/>
  <c r="K190" i="8" s="1"/>
  <c r="M43" i="9"/>
  <c r="M41" i="9" s="1"/>
  <c r="N68" i="9"/>
  <c r="L72" i="9"/>
  <c r="O72" i="9" s="1"/>
  <c r="L279" i="9"/>
  <c r="O279" i="9" s="1"/>
  <c r="I297" i="9"/>
  <c r="K297" i="9" s="1"/>
  <c r="L525" i="9"/>
  <c r="O525" i="9" s="1"/>
  <c r="L33" i="10"/>
  <c r="L69" i="10"/>
  <c r="O69" i="10" s="1"/>
  <c r="O449" i="10"/>
  <c r="L446" i="10"/>
  <c r="O446" i="10" s="1"/>
  <c r="L447" i="10"/>
  <c r="O447" i="10" s="1"/>
  <c r="N263" i="9"/>
  <c r="N261" i="9" s="1"/>
  <c r="N279" i="9"/>
  <c r="N277" i="9" s="1"/>
  <c r="P69" i="10"/>
  <c r="P96" i="10"/>
  <c r="M94" i="10"/>
  <c r="P94" i="10" s="1"/>
  <c r="L138" i="10"/>
  <c r="O138" i="10" s="1"/>
  <c r="N300" i="10"/>
  <c r="N298" i="10" s="1"/>
  <c r="O303" i="10"/>
  <c r="N301" i="10"/>
  <c r="O301" i="10" s="1"/>
  <c r="P350" i="10"/>
  <c r="M347" i="10"/>
  <c r="K649" i="8"/>
  <c r="O56" i="9"/>
  <c r="L231" i="9"/>
  <c r="L404" i="9"/>
  <c r="O404" i="9" s="1"/>
  <c r="O407" i="9"/>
  <c r="M26" i="10"/>
  <c r="L59" i="10"/>
  <c r="O59" i="10" s="1"/>
  <c r="O61" i="10"/>
  <c r="L55" i="10"/>
  <c r="N90" i="10"/>
  <c r="N88" i="10" s="1"/>
  <c r="N91" i="10"/>
  <c r="P91" i="10" s="1"/>
  <c r="L134" i="10"/>
  <c r="M348" i="10"/>
  <c r="N90" i="8"/>
  <c r="N88" i="8" s="1"/>
  <c r="M121" i="9"/>
  <c r="M119" i="9" s="1"/>
  <c r="P137" i="9"/>
  <c r="M43" i="10"/>
  <c r="L26" i="10"/>
  <c r="O49" i="10"/>
  <c r="P56" i="10"/>
  <c r="P58" i="10"/>
  <c r="N55" i="10"/>
  <c r="N53" i="10" s="1"/>
  <c r="P61" i="10"/>
  <c r="M55" i="10"/>
  <c r="M53" i="10" s="1"/>
  <c r="M121" i="10"/>
  <c r="P124" i="10"/>
  <c r="O285" i="10"/>
  <c r="L279" i="10"/>
  <c r="L277" i="10" s="1"/>
  <c r="L283" i="10"/>
  <c r="O283" i="10" s="1"/>
  <c r="K340" i="10"/>
  <c r="K355" i="10"/>
  <c r="K560" i="10"/>
  <c r="K674" i="10"/>
  <c r="K828" i="10"/>
  <c r="O124" i="10"/>
  <c r="P140" i="10"/>
  <c r="M151" i="10"/>
  <c r="L231" i="10"/>
  <c r="M283" i="10"/>
  <c r="P283" i="10" s="1"/>
  <c r="L317" i="10"/>
  <c r="O317" i="10" s="1"/>
  <c r="K325" i="10"/>
  <c r="L334" i="10"/>
  <c r="O334" i="10" s="1"/>
  <c r="P336" i="10"/>
  <c r="O350" i="10"/>
  <c r="M404" i="10"/>
  <c r="P407" i="10"/>
  <c r="K440" i="10"/>
  <c r="J537" i="10"/>
  <c r="J522" i="10" s="1"/>
  <c r="O557" i="10"/>
  <c r="O641" i="10"/>
  <c r="I654" i="10"/>
  <c r="K654" i="10" s="1"/>
  <c r="K669" i="10"/>
  <c r="L121" i="10"/>
  <c r="O121" i="10" s="1"/>
  <c r="L228" i="10"/>
  <c r="L264" i="10"/>
  <c r="O264" i="10" s="1"/>
  <c r="P285" i="10"/>
  <c r="L318" i="10"/>
  <c r="O318" i="10" s="1"/>
  <c r="P353" i="10"/>
  <c r="K576" i="10"/>
  <c r="L687" i="10"/>
  <c r="O687" i="10" s="1"/>
  <c r="K821" i="10"/>
  <c r="P137" i="10"/>
  <c r="I260" i="10"/>
  <c r="K260" i="10" s="1"/>
  <c r="K338" i="10"/>
  <c r="P351" i="10"/>
  <c r="K374" i="10"/>
  <c r="O690" i="10"/>
  <c r="J722" i="10"/>
  <c r="K827" i="10"/>
  <c r="K86" i="10"/>
  <c r="O331" i="10"/>
  <c r="K372" i="10"/>
  <c r="N9" i="10"/>
  <c r="N155" i="10"/>
  <c r="N26" i="10"/>
  <c r="N24" i="10" s="1"/>
  <c r="I197" i="10"/>
  <c r="K197" i="10" s="1"/>
  <c r="K204" i="10"/>
  <c r="N330" i="7"/>
  <c r="N328" i="7" s="1"/>
  <c r="N91" i="9"/>
  <c r="N168" i="9"/>
  <c r="L209" i="9"/>
  <c r="O209" i="9" s="1"/>
  <c r="K287" i="9"/>
  <c r="O54" i="10"/>
  <c r="L152" i="10"/>
  <c r="O152" i="10" s="1"/>
  <c r="O154" i="10"/>
  <c r="L151" i="10"/>
  <c r="K193" i="10"/>
  <c r="I190" i="10"/>
  <c r="K190" i="10" s="1"/>
  <c r="I112" i="8"/>
  <c r="K112" i="8" s="1"/>
  <c r="L279" i="8"/>
  <c r="L277" i="8" s="1"/>
  <c r="O282" i="8"/>
  <c r="K379" i="8"/>
  <c r="N55" i="9"/>
  <c r="O186" i="9"/>
  <c r="L230" i="9"/>
  <c r="O269" i="9"/>
  <c r="L317" i="9"/>
  <c r="O317" i="9" s="1"/>
  <c r="N29" i="10"/>
  <c r="N28" i="10" s="1"/>
  <c r="N31" i="10"/>
  <c r="M301" i="10"/>
  <c r="P303" i="10"/>
  <c r="M300" i="10"/>
  <c r="L283" i="8"/>
  <c r="O283" i="8" s="1"/>
  <c r="P140" i="9"/>
  <c r="O320" i="9"/>
  <c r="P333" i="9"/>
  <c r="P350" i="9"/>
  <c r="K385" i="9"/>
  <c r="N15" i="10"/>
  <c r="P71" i="10"/>
  <c r="M68" i="10"/>
  <c r="M23" i="10"/>
  <c r="M90" i="10"/>
  <c r="M88" i="10" s="1"/>
  <c r="P93" i="10"/>
  <c r="M167" i="10"/>
  <c r="P170" i="10"/>
  <c r="N280" i="10"/>
  <c r="O280" i="10" s="1"/>
  <c r="P282" i="10"/>
  <c r="N279" i="10"/>
  <c r="O93" i="9"/>
  <c r="O170" i="9"/>
  <c r="L228" i="9"/>
  <c r="L321" i="9"/>
  <c r="O321" i="9" s="1"/>
  <c r="O12" i="10"/>
  <c r="O19" i="10"/>
  <c r="L23" i="10"/>
  <c r="L21" i="10" s="1"/>
  <c r="I87" i="8"/>
  <c r="K87" i="8" s="1"/>
  <c r="L138" i="8"/>
  <c r="O138" i="8" s="1"/>
  <c r="O154" i="8"/>
  <c r="M125" i="9"/>
  <c r="N151" i="9"/>
  <c r="N149" i="9" s="1"/>
  <c r="M183" i="9"/>
  <c r="M181" i="9" s="1"/>
  <c r="L187" i="9"/>
  <c r="O187" i="9" s="1"/>
  <c r="I260" i="9"/>
  <c r="K260" i="9" s="1"/>
  <c r="O266" i="9"/>
  <c r="M279" i="9"/>
  <c r="P279" i="9" s="1"/>
  <c r="P285" i="9"/>
  <c r="M330" i="9"/>
  <c r="M328" i="9" s="1"/>
  <c r="O350" i="9"/>
  <c r="N347" i="9"/>
  <c r="K360" i="9"/>
  <c r="K378" i="9"/>
  <c r="K381" i="9"/>
  <c r="O56" i="10"/>
  <c r="N122" i="10"/>
  <c r="N121" i="10"/>
  <c r="N119" i="10" s="1"/>
  <c r="M264" i="10"/>
  <c r="P264" i="10" s="1"/>
  <c r="P266" i="10"/>
  <c r="M263" i="10"/>
  <c r="L15" i="10"/>
  <c r="L9" i="10" s="1"/>
  <c r="O25" i="10"/>
  <c r="K79" i="10"/>
  <c r="I77" i="10"/>
  <c r="K130" i="10"/>
  <c r="O333" i="10"/>
  <c r="L330" i="10"/>
  <c r="M9" i="10"/>
  <c r="M15" i="10"/>
  <c r="N23" i="10"/>
  <c r="M29" i="10"/>
  <c r="O58" i="10"/>
  <c r="O96" i="10"/>
  <c r="L94" i="10"/>
  <c r="O94" i="10" s="1"/>
  <c r="K98" i="10"/>
  <c r="O133" i="10"/>
  <c r="K146" i="10"/>
  <c r="O173" i="10"/>
  <c r="L171" i="10"/>
  <c r="O171" i="10" s="1"/>
  <c r="K176" i="10"/>
  <c r="I174" i="10"/>
  <c r="P186" i="10"/>
  <c r="M184" i="10"/>
  <c r="L238" i="10"/>
  <c r="L229" i="10"/>
  <c r="M267" i="10"/>
  <c r="P267" i="10" s="1"/>
  <c r="P269" i="10"/>
  <c r="M304" i="10"/>
  <c r="P304" i="10" s="1"/>
  <c r="P306" i="10"/>
  <c r="N321" i="10"/>
  <c r="N317" i="10"/>
  <c r="N315" i="10" s="1"/>
  <c r="O67" i="10"/>
  <c r="I112" i="10"/>
  <c r="K112" i="10" s="1"/>
  <c r="K216" i="10"/>
  <c r="L526" i="10"/>
  <c r="O526" i="10" s="1"/>
  <c r="O528" i="10"/>
  <c r="N151" i="10"/>
  <c r="N149" i="10" s="1"/>
  <c r="P182" i="10"/>
  <c r="P189" i="10"/>
  <c r="M187" i="10"/>
  <c r="P187" i="10" s="1"/>
  <c r="I208" i="10"/>
  <c r="K208" i="10" s="1"/>
  <c r="K255" i="10"/>
  <c r="I248" i="10"/>
  <c r="K248" i="10" s="1"/>
  <c r="O282" i="10"/>
  <c r="P320" i="10"/>
  <c r="M318" i="10"/>
  <c r="P318" i="10" s="1"/>
  <c r="M317" i="10"/>
  <c r="P317" i="10" s="1"/>
  <c r="K651" i="9"/>
  <c r="P89" i="10"/>
  <c r="O93" i="10"/>
  <c r="L91" i="10"/>
  <c r="P166" i="10"/>
  <c r="O170" i="10"/>
  <c r="L168" i="10"/>
  <c r="O168" i="10" s="1"/>
  <c r="O262" i="10"/>
  <c r="P278" i="10"/>
  <c r="O299" i="10"/>
  <c r="I233" i="10"/>
  <c r="K233" i="10" s="1"/>
  <c r="O346" i="10"/>
  <c r="K569" i="10"/>
  <c r="N737" i="10"/>
  <c r="N414" i="10" s="1"/>
  <c r="L421" i="10"/>
  <c r="O421" i="10" s="1"/>
  <c r="P771" i="10"/>
  <c r="M770" i="10"/>
  <c r="P770" i="10" s="1"/>
  <c r="L789" i="10"/>
  <c r="O789" i="10" s="1"/>
  <c r="O791" i="10"/>
  <c r="I785" i="10"/>
  <c r="K785" i="10" s="1"/>
  <c r="K800" i="10"/>
  <c r="O456" i="10"/>
  <c r="O479" i="10"/>
  <c r="L469" i="10"/>
  <c r="O524" i="10"/>
  <c r="O806" i="10"/>
  <c r="L805" i="10"/>
  <c r="O805" i="10" s="1"/>
  <c r="I237" i="10"/>
  <c r="L249" i="10"/>
  <c r="O249" i="10" s="1"/>
  <c r="O329" i="10"/>
  <c r="L422" i="10"/>
  <c r="O422" i="10" s="1"/>
  <c r="N444" i="10"/>
  <c r="L477" i="10"/>
  <c r="O477" i="10" s="1"/>
  <c r="P755" i="10"/>
  <c r="M754" i="10"/>
  <c r="P754" i="10" s="1"/>
  <c r="N808" i="10"/>
  <c r="J364" i="10"/>
  <c r="O431" i="10"/>
  <c r="I543" i="10"/>
  <c r="K543" i="10" s="1"/>
  <c r="K559" i="10"/>
  <c r="K577" i="10"/>
  <c r="L632" i="10"/>
  <c r="O632" i="10" s="1"/>
  <c r="N754" i="10"/>
  <c r="O787" i="10"/>
  <c r="L786" i="10"/>
  <c r="O786" i="10" s="1"/>
  <c r="N789" i="10"/>
  <c r="O686" i="10"/>
  <c r="P738" i="10"/>
  <c r="M737" i="10"/>
  <c r="P737" i="10" s="1"/>
  <c r="I442" i="10"/>
  <c r="K442" i="10" s="1"/>
  <c r="M523" i="10"/>
  <c r="P523" i="10" s="1"/>
  <c r="K675" i="10"/>
  <c r="M685" i="10"/>
  <c r="P685" i="10" s="1"/>
  <c r="M786" i="10"/>
  <c r="P786" i="10" s="1"/>
  <c r="M805" i="10"/>
  <c r="P805" i="10" s="1"/>
  <c r="M444" i="10"/>
  <c r="P444" i="10" s="1"/>
  <c r="N300" i="9"/>
  <c r="N298" i="9" s="1"/>
  <c r="N94" i="8"/>
  <c r="L68" i="9"/>
  <c r="L66" i="9" s="1"/>
  <c r="N134" i="9"/>
  <c r="N132" i="9" s="1"/>
  <c r="L249" i="9"/>
  <c r="O249" i="9" s="1"/>
  <c r="O303" i="9"/>
  <c r="M405" i="9"/>
  <c r="P405" i="9" s="1"/>
  <c r="K669" i="9"/>
  <c r="J722" i="9"/>
  <c r="M122" i="8"/>
  <c r="P122" i="8" s="1"/>
  <c r="L228" i="8"/>
  <c r="M138" i="9"/>
  <c r="K204" i="9"/>
  <c r="O306" i="9"/>
  <c r="I314" i="9"/>
  <c r="K314" i="9" s="1"/>
  <c r="M408" i="9"/>
  <c r="P408" i="9" s="1"/>
  <c r="L422" i="9"/>
  <c r="O422" i="9" s="1"/>
  <c r="L36" i="9"/>
  <c r="O36" i="9" s="1"/>
  <c r="K594" i="9"/>
  <c r="N43" i="9"/>
  <c r="N41" i="9" s="1"/>
  <c r="M90" i="9"/>
  <c r="M88" i="9" s="1"/>
  <c r="L198" i="9"/>
  <c r="O198" i="9" s="1"/>
  <c r="L330" i="9"/>
  <c r="L328" i="9" s="1"/>
  <c r="N391" i="9"/>
  <c r="N389" i="9" s="1"/>
  <c r="M395" i="9"/>
  <c r="P395" i="9" s="1"/>
  <c r="I592" i="9"/>
  <c r="K592" i="9" s="1"/>
  <c r="K145" i="8"/>
  <c r="L155" i="8"/>
  <c r="O155" i="8" s="1"/>
  <c r="M47" i="9"/>
  <c r="P47" i="9" s="1"/>
  <c r="L91" i="9"/>
  <c r="N152" i="9"/>
  <c r="P282" i="9"/>
  <c r="K340" i="7"/>
  <c r="P303" i="8"/>
  <c r="L167" i="9"/>
  <c r="L165" i="9" s="1"/>
  <c r="L183" i="9"/>
  <c r="L181" i="9" s="1"/>
  <c r="M300" i="9"/>
  <c r="P300" i="9" s="1"/>
  <c r="J364" i="9"/>
  <c r="K365" i="9"/>
  <c r="N263" i="8"/>
  <c r="N261" i="8" s="1"/>
  <c r="M267" i="8"/>
  <c r="P267" i="8" s="1"/>
  <c r="N280" i="8"/>
  <c r="O280" i="8" s="1"/>
  <c r="N317" i="8"/>
  <c r="N315" i="8" s="1"/>
  <c r="M23" i="9"/>
  <c r="M13" i="9" s="1"/>
  <c r="M44" i="9"/>
  <c r="P44" i="9" s="1"/>
  <c r="L69" i="9"/>
  <c r="O69" i="9" s="1"/>
  <c r="I77" i="9"/>
  <c r="K77" i="9" s="1"/>
  <c r="K99" i="9"/>
  <c r="M134" i="9"/>
  <c r="N138" i="9"/>
  <c r="I148" i="9"/>
  <c r="K148" i="9" s="1"/>
  <c r="I216" i="9"/>
  <c r="K216" i="9" s="1"/>
  <c r="J288" i="9"/>
  <c r="J275" i="9" s="1"/>
  <c r="L300" i="9"/>
  <c r="O300" i="9" s="1"/>
  <c r="N321" i="9"/>
  <c r="N330" i="9"/>
  <c r="N351" i="9"/>
  <c r="O351" i="9" s="1"/>
  <c r="O353" i="9"/>
  <c r="K359" i="9"/>
  <c r="L392" i="9"/>
  <c r="O392" i="9" s="1"/>
  <c r="L447" i="9"/>
  <c r="O447" i="9" s="1"/>
  <c r="L546" i="9"/>
  <c r="L544" i="9" s="1"/>
  <c r="O544" i="9" s="1"/>
  <c r="O549" i="9"/>
  <c r="L632" i="9"/>
  <c r="O632" i="9" s="1"/>
  <c r="K675" i="9"/>
  <c r="K674" i="9"/>
  <c r="K673" i="9"/>
  <c r="O690" i="9"/>
  <c r="L687" i="9"/>
  <c r="O687" i="9" s="1"/>
  <c r="N23" i="9"/>
  <c r="N21" i="9" s="1"/>
  <c r="P46" i="9"/>
  <c r="M69" i="9"/>
  <c r="P69" i="9" s="1"/>
  <c r="P71" i="9"/>
  <c r="J143" i="9"/>
  <c r="J131" i="9" s="1"/>
  <c r="L151" i="9"/>
  <c r="O151" i="9" s="1"/>
  <c r="O154" i="9"/>
  <c r="I174" i="9"/>
  <c r="I190" i="9"/>
  <c r="K190" i="9" s="1"/>
  <c r="L238" i="9"/>
  <c r="O238" i="9" s="1"/>
  <c r="I275" i="9"/>
  <c r="K275" i="9" s="1"/>
  <c r="M347" i="9"/>
  <c r="K355" i="9"/>
  <c r="K362" i="9"/>
  <c r="K370" i="9"/>
  <c r="M392" i="9"/>
  <c r="P392" i="9" s="1"/>
  <c r="L395" i="9"/>
  <c r="O395" i="9" s="1"/>
  <c r="M404" i="9"/>
  <c r="I433" i="9"/>
  <c r="I417" i="9" s="1"/>
  <c r="I628" i="9"/>
  <c r="K628" i="9" s="1"/>
  <c r="J721" i="9"/>
  <c r="O306" i="8"/>
  <c r="O58" i="9"/>
  <c r="K87" i="9"/>
  <c r="L121" i="9"/>
  <c r="O124" i="9"/>
  <c r="M151" i="9"/>
  <c r="I208" i="9"/>
  <c r="K208" i="9" s="1"/>
  <c r="L331" i="9"/>
  <c r="O331" i="9" s="1"/>
  <c r="O333" i="9"/>
  <c r="J327" i="9"/>
  <c r="K327" i="9" s="1"/>
  <c r="K374" i="9"/>
  <c r="N404" i="9"/>
  <c r="N402" i="9" s="1"/>
  <c r="K115" i="8"/>
  <c r="L231" i="8"/>
  <c r="N47" i="9"/>
  <c r="L55" i="9"/>
  <c r="M72" i="9"/>
  <c r="P72" i="9" s="1"/>
  <c r="K98" i="9"/>
  <c r="I112" i="9"/>
  <c r="K112" i="9" s="1"/>
  <c r="P127" i="9"/>
  <c r="M135" i="9"/>
  <c r="P135" i="9" s="1"/>
  <c r="M167" i="9"/>
  <c r="L184" i="9"/>
  <c r="L264" i="9"/>
  <c r="O264" i="9" s="1"/>
  <c r="L334" i="9"/>
  <c r="O334" i="9" s="1"/>
  <c r="K379" i="9"/>
  <c r="L391" i="9"/>
  <c r="O410" i="9"/>
  <c r="J537" i="9"/>
  <c r="J522" i="9" s="1"/>
  <c r="L688" i="9"/>
  <c r="O688" i="9" s="1"/>
  <c r="P96" i="8"/>
  <c r="L209" i="8"/>
  <c r="O209" i="8" s="1"/>
  <c r="I76" i="9"/>
  <c r="K76" i="9" s="1"/>
  <c r="L168" i="9"/>
  <c r="L217" i="9"/>
  <c r="O217" i="9" s="1"/>
  <c r="K338" i="9"/>
  <c r="P353" i="9"/>
  <c r="I364" i="9"/>
  <c r="K372" i="9"/>
  <c r="M391" i="9"/>
  <c r="P391" i="9" s="1"/>
  <c r="K822" i="9"/>
  <c r="K828" i="9"/>
  <c r="K823" i="9"/>
  <c r="P29" i="9"/>
  <c r="O49" i="9"/>
  <c r="L26" i="9"/>
  <c r="L317" i="6"/>
  <c r="L408" i="7"/>
  <c r="O408" i="7" s="1"/>
  <c r="M72" i="8"/>
  <c r="P72" i="8" s="1"/>
  <c r="L183" i="8"/>
  <c r="L181" i="8" s="1"/>
  <c r="P353" i="8"/>
  <c r="M30" i="9"/>
  <c r="P30" i="9" s="1"/>
  <c r="N28" i="9"/>
  <c r="L47" i="9"/>
  <c r="O47" i="9" s="1"/>
  <c r="P58" i="9"/>
  <c r="L138" i="9"/>
  <c r="O140" i="9"/>
  <c r="O771" i="9"/>
  <c r="L770" i="9"/>
  <c r="O770" i="9" s="1"/>
  <c r="P91" i="8"/>
  <c r="N279" i="8"/>
  <c r="K385" i="8"/>
  <c r="K822" i="8"/>
  <c r="K825" i="8"/>
  <c r="K828" i="8"/>
  <c r="O166" i="9"/>
  <c r="M168" i="9"/>
  <c r="P170" i="9"/>
  <c r="N183" i="9"/>
  <c r="I233" i="9"/>
  <c r="K233" i="9" s="1"/>
  <c r="K244" i="9"/>
  <c r="I237" i="9"/>
  <c r="L526" i="9"/>
  <c r="O526" i="9" s="1"/>
  <c r="O528" i="9"/>
  <c r="L33" i="9"/>
  <c r="K821" i="7"/>
  <c r="K824" i="7"/>
  <c r="K827" i="7"/>
  <c r="K372" i="8"/>
  <c r="O22" i="9"/>
  <c r="L19" i="9"/>
  <c r="L12" i="9"/>
  <c r="P35" i="9"/>
  <c r="M34" i="9"/>
  <c r="P34" i="9" s="1"/>
  <c r="L23" i="9"/>
  <c r="O46" i="9"/>
  <c r="I130" i="9"/>
  <c r="K130" i="9" s="1"/>
  <c r="K146" i="9"/>
  <c r="M171" i="9"/>
  <c r="P171" i="9" s="1"/>
  <c r="P173" i="9"/>
  <c r="P182" i="9"/>
  <c r="P269" i="9"/>
  <c r="M263" i="9"/>
  <c r="L15" i="9"/>
  <c r="P22" i="9"/>
  <c r="M19" i="9"/>
  <c r="M12" i="9"/>
  <c r="N34" i="9"/>
  <c r="L44" i="9"/>
  <c r="O44" i="9" s="1"/>
  <c r="K81" i="9"/>
  <c r="O89" i="9"/>
  <c r="M91" i="9"/>
  <c r="P93" i="9"/>
  <c r="N184" i="9"/>
  <c r="P186" i="9"/>
  <c r="M267" i="9"/>
  <c r="P267" i="9" s="1"/>
  <c r="O424" i="7"/>
  <c r="M55" i="8"/>
  <c r="M53" i="8" s="1"/>
  <c r="K100" i="8"/>
  <c r="L229" i="8"/>
  <c r="K271" i="8"/>
  <c r="N300" i="8"/>
  <c r="N298" i="8" s="1"/>
  <c r="K378" i="8"/>
  <c r="J364" i="8"/>
  <c r="N391" i="8"/>
  <c r="N389" i="8" s="1"/>
  <c r="P410" i="8"/>
  <c r="N9" i="9"/>
  <c r="P15" i="9"/>
  <c r="N59" i="9"/>
  <c r="N26" i="9"/>
  <c r="M94" i="9"/>
  <c r="P94" i="9" s="1"/>
  <c r="P96" i="9"/>
  <c r="M26" i="9"/>
  <c r="L135" i="9"/>
  <c r="O135" i="9" s="1"/>
  <c r="O137" i="9"/>
  <c r="O120" i="9"/>
  <c r="O150" i="9"/>
  <c r="P262" i="9"/>
  <c r="P278" i="9"/>
  <c r="M304" i="9"/>
  <c r="P304" i="9" s="1"/>
  <c r="P306" i="9"/>
  <c r="L429" i="9"/>
  <c r="O429" i="9" s="1"/>
  <c r="O431" i="9"/>
  <c r="L421" i="9"/>
  <c r="K576" i="9"/>
  <c r="M264" i="9"/>
  <c r="P264" i="9" s="1"/>
  <c r="O316" i="9"/>
  <c r="P419" i="9"/>
  <c r="L639" i="9"/>
  <c r="O639" i="9" s="1"/>
  <c r="O641" i="9"/>
  <c r="L631" i="9"/>
  <c r="N807" i="9"/>
  <c r="N805" i="9" s="1"/>
  <c r="N808" i="9"/>
  <c r="M318" i="9"/>
  <c r="P318" i="9" s="1"/>
  <c r="P320" i="9"/>
  <c r="L229" i="9"/>
  <c r="I248" i="9"/>
  <c r="K248" i="9" s="1"/>
  <c r="I443" i="9"/>
  <c r="K443" i="9" s="1"/>
  <c r="L454" i="9"/>
  <c r="O454" i="9" s="1"/>
  <c r="O456" i="9"/>
  <c r="L446" i="9"/>
  <c r="I543" i="9"/>
  <c r="K543" i="9" s="1"/>
  <c r="K559" i="9"/>
  <c r="O738" i="9"/>
  <c r="L737" i="9"/>
  <c r="O737" i="9" s="1"/>
  <c r="L789" i="9"/>
  <c r="O789" i="9" s="1"/>
  <c r="O791" i="9"/>
  <c r="I143" i="9"/>
  <c r="O299" i="9"/>
  <c r="M301" i="9"/>
  <c r="P301" i="9" s="1"/>
  <c r="P303" i="9"/>
  <c r="M321" i="9"/>
  <c r="P321" i="9" s="1"/>
  <c r="P323" i="9"/>
  <c r="P545" i="9"/>
  <c r="M544" i="9"/>
  <c r="P544" i="9" s="1"/>
  <c r="N685" i="9"/>
  <c r="N414" i="9" s="1"/>
  <c r="O755" i="9"/>
  <c r="L754" i="9"/>
  <c r="O754" i="9" s="1"/>
  <c r="L280" i="9"/>
  <c r="O280" i="9" s="1"/>
  <c r="L283" i="9"/>
  <c r="O283" i="9" s="1"/>
  <c r="M331" i="9"/>
  <c r="P331" i="9" s="1"/>
  <c r="M334" i="9"/>
  <c r="P334" i="9" s="1"/>
  <c r="M348" i="9"/>
  <c r="P348" i="9" s="1"/>
  <c r="M351" i="9"/>
  <c r="L469" i="9"/>
  <c r="O469" i="9" s="1"/>
  <c r="K539" i="9"/>
  <c r="L555" i="9"/>
  <c r="O555" i="9" s="1"/>
  <c r="M737" i="9"/>
  <c r="P737" i="9" s="1"/>
  <c r="M754" i="9"/>
  <c r="P754" i="9" s="1"/>
  <c r="M770" i="9"/>
  <c r="P770" i="9" s="1"/>
  <c r="L786" i="9"/>
  <c r="O786" i="9" s="1"/>
  <c r="L805" i="9"/>
  <c r="O805" i="9" s="1"/>
  <c r="M523" i="9"/>
  <c r="P523" i="9" s="1"/>
  <c r="M685" i="9"/>
  <c r="P685" i="9" s="1"/>
  <c r="M786" i="9"/>
  <c r="P786" i="9" s="1"/>
  <c r="K800" i="9"/>
  <c r="M805" i="9"/>
  <c r="P805" i="9" s="1"/>
  <c r="J433" i="9"/>
  <c r="J417" i="9" s="1"/>
  <c r="L155" i="7"/>
  <c r="O155" i="7" s="1"/>
  <c r="O157" i="7"/>
  <c r="O61" i="8"/>
  <c r="L59" i="8"/>
  <c r="O59" i="8" s="1"/>
  <c r="K460" i="8"/>
  <c r="I442" i="8"/>
  <c r="K442" i="8" s="1"/>
  <c r="O535" i="8"/>
  <c r="L533" i="8"/>
  <c r="O533" i="8" s="1"/>
  <c r="P61" i="8"/>
  <c r="M59" i="8"/>
  <c r="P59" i="8" s="1"/>
  <c r="P127" i="8"/>
  <c r="M125" i="8"/>
  <c r="P125" i="8" s="1"/>
  <c r="P173" i="8"/>
  <c r="M171" i="8"/>
  <c r="P171" i="8" s="1"/>
  <c r="L632" i="8"/>
  <c r="O632" i="8" s="1"/>
  <c r="O137" i="7"/>
  <c r="L135" i="7"/>
  <c r="O135" i="7" s="1"/>
  <c r="I364" i="7"/>
  <c r="N168" i="8"/>
  <c r="O168" i="8" s="1"/>
  <c r="N167" i="8"/>
  <c r="N165" i="8" s="1"/>
  <c r="L198" i="8"/>
  <c r="O198" i="8" s="1"/>
  <c r="K309" i="8"/>
  <c r="I297" i="8"/>
  <c r="K297" i="8" s="1"/>
  <c r="K374" i="8"/>
  <c r="I434" i="8"/>
  <c r="I418" i="8" s="1"/>
  <c r="K418" i="8" s="1"/>
  <c r="K440" i="8"/>
  <c r="O49" i="8"/>
  <c r="L47" i="8"/>
  <c r="O47" i="8" s="1"/>
  <c r="L55" i="8"/>
  <c r="L53" i="8" s="1"/>
  <c r="L125" i="8"/>
  <c r="O125" i="8" s="1"/>
  <c r="K355" i="8"/>
  <c r="K360" i="8"/>
  <c r="L555" i="8"/>
  <c r="O555" i="8" s="1"/>
  <c r="O557" i="8"/>
  <c r="P49" i="7"/>
  <c r="M47" i="7"/>
  <c r="P47" i="7" s="1"/>
  <c r="L43" i="8"/>
  <c r="L44" i="8"/>
  <c r="O44" i="8" s="1"/>
  <c r="K98" i="8"/>
  <c r="I86" i="8"/>
  <c r="K86" i="8" s="1"/>
  <c r="I148" i="8"/>
  <c r="K148" i="8" s="1"/>
  <c r="K159" i="8"/>
  <c r="K176" i="8"/>
  <c r="I174" i="8"/>
  <c r="K174" i="8" s="1"/>
  <c r="M331" i="8"/>
  <c r="M330" i="8"/>
  <c r="M328" i="8" s="1"/>
  <c r="N334" i="8"/>
  <c r="N330" i="8"/>
  <c r="N328" i="8" s="1"/>
  <c r="I433" i="8"/>
  <c r="I417" i="8" s="1"/>
  <c r="K435" i="8"/>
  <c r="P306" i="6"/>
  <c r="M304" i="6"/>
  <c r="P304" i="6" s="1"/>
  <c r="L122" i="7"/>
  <c r="O122" i="7" s="1"/>
  <c r="O124" i="7"/>
  <c r="L167" i="7"/>
  <c r="L165" i="7" s="1"/>
  <c r="P173" i="7"/>
  <c r="M171" i="7"/>
  <c r="P171" i="7" s="1"/>
  <c r="M263" i="7"/>
  <c r="M261" i="7" s="1"/>
  <c r="P46" i="8"/>
  <c r="M44" i="8"/>
  <c r="P44" i="8" s="1"/>
  <c r="O137" i="8"/>
  <c r="L135" i="8"/>
  <c r="O135" i="8" s="1"/>
  <c r="K651" i="8"/>
  <c r="N391" i="7"/>
  <c r="N389" i="7" s="1"/>
  <c r="K725" i="8"/>
  <c r="L230" i="6"/>
  <c r="O154" i="7"/>
  <c r="P154" i="8"/>
  <c r="K462" i="8"/>
  <c r="L198" i="7"/>
  <c r="O198" i="7" s="1"/>
  <c r="M408" i="7"/>
  <c r="P408" i="7" s="1"/>
  <c r="M301" i="8"/>
  <c r="P301" i="8" s="1"/>
  <c r="K340" i="8"/>
  <c r="K365" i="8"/>
  <c r="P124" i="7"/>
  <c r="I434" i="7"/>
  <c r="K434" i="7" s="1"/>
  <c r="O56" i="8"/>
  <c r="L152" i="8"/>
  <c r="O152" i="8" s="1"/>
  <c r="L230" i="8"/>
  <c r="K260" i="8"/>
  <c r="K362" i="8"/>
  <c r="K381" i="8"/>
  <c r="K647" i="8"/>
  <c r="N47" i="8"/>
  <c r="N43" i="8"/>
  <c r="N41" i="8" s="1"/>
  <c r="I197" i="8"/>
  <c r="K197" i="8" s="1"/>
  <c r="K204" i="8"/>
  <c r="I86" i="7"/>
  <c r="K86" i="7" s="1"/>
  <c r="I112" i="7"/>
  <c r="K112" i="7" s="1"/>
  <c r="L183" i="7"/>
  <c r="L181" i="7" s="1"/>
  <c r="L230" i="7"/>
  <c r="O634" i="7"/>
  <c r="M68" i="8"/>
  <c r="M66" i="8" s="1"/>
  <c r="M167" i="8"/>
  <c r="M165" i="8" s="1"/>
  <c r="P170" i="8"/>
  <c r="M168" i="8"/>
  <c r="M263" i="8"/>
  <c r="M261" i="8" s="1"/>
  <c r="P266" i="8"/>
  <c r="L267" i="8"/>
  <c r="O267" i="8" s="1"/>
  <c r="L263" i="8"/>
  <c r="M391" i="8"/>
  <c r="P394" i="8"/>
  <c r="M392" i="8"/>
  <c r="P392" i="8" s="1"/>
  <c r="O660" i="8"/>
  <c r="L657" i="8"/>
  <c r="L655" i="8" s="1"/>
  <c r="O655" i="8" s="1"/>
  <c r="P49" i="8"/>
  <c r="M43" i="8"/>
  <c r="M41" i="8" s="1"/>
  <c r="N404" i="8"/>
  <c r="N402" i="8" s="1"/>
  <c r="N405" i="8"/>
  <c r="I260" i="7"/>
  <c r="K260" i="7" s="1"/>
  <c r="P350" i="8"/>
  <c r="O424" i="8"/>
  <c r="L422" i="8"/>
  <c r="O422" i="8" s="1"/>
  <c r="K672" i="8"/>
  <c r="K669" i="8"/>
  <c r="O44" i="7"/>
  <c r="N392" i="7"/>
  <c r="O394" i="7"/>
  <c r="N404" i="7"/>
  <c r="N402" i="7" s="1"/>
  <c r="L69" i="8"/>
  <c r="O69" i="8" s="1"/>
  <c r="K80" i="8"/>
  <c r="I76" i="8"/>
  <c r="L167" i="8"/>
  <c r="L165" i="8" s="1"/>
  <c r="J721" i="8"/>
  <c r="K721" i="8" s="1"/>
  <c r="J433" i="8"/>
  <c r="J417" i="8" s="1"/>
  <c r="K439" i="8"/>
  <c r="N90" i="7"/>
  <c r="N88" i="7" s="1"/>
  <c r="M90" i="8"/>
  <c r="P93" i="8"/>
  <c r="M318" i="8"/>
  <c r="P318" i="8" s="1"/>
  <c r="M317" i="8"/>
  <c r="P317" i="8" s="1"/>
  <c r="P320" i="8"/>
  <c r="P397" i="8"/>
  <c r="M395" i="8"/>
  <c r="P395" i="8" s="1"/>
  <c r="L547" i="8"/>
  <c r="O547" i="8" s="1"/>
  <c r="L546" i="8"/>
  <c r="O549" i="8"/>
  <c r="K338" i="7"/>
  <c r="L36" i="7"/>
  <c r="O36" i="7" s="1"/>
  <c r="K647" i="7"/>
  <c r="K785" i="7"/>
  <c r="M23" i="8"/>
  <c r="M21" i="8" s="1"/>
  <c r="P186" i="8"/>
  <c r="N184" i="8"/>
  <c r="O184" i="8" s="1"/>
  <c r="M264" i="8"/>
  <c r="P264" i="8" s="1"/>
  <c r="I364" i="8"/>
  <c r="K369" i="8"/>
  <c r="L408" i="8"/>
  <c r="O408" i="8" s="1"/>
  <c r="O410" i="8"/>
  <c r="K592" i="8"/>
  <c r="K593" i="8"/>
  <c r="I628" i="8"/>
  <c r="K628" i="8" s="1"/>
  <c r="K720" i="8"/>
  <c r="O74" i="8"/>
  <c r="L72" i="8"/>
  <c r="O72" i="8" s="1"/>
  <c r="N304" i="8"/>
  <c r="O320" i="8"/>
  <c r="L317" i="8"/>
  <c r="O317" i="8" s="1"/>
  <c r="M134" i="8"/>
  <c r="P134" i="8" s="1"/>
  <c r="P137" i="8"/>
  <c r="O189" i="8"/>
  <c r="L187" i="8"/>
  <c r="O187" i="8" s="1"/>
  <c r="M347" i="8"/>
  <c r="M345" i="8" s="1"/>
  <c r="K674" i="8"/>
  <c r="P157" i="8"/>
  <c r="M151" i="8"/>
  <c r="M149" i="8" s="1"/>
  <c r="L217" i="8"/>
  <c r="O217" i="8" s="1"/>
  <c r="K359" i="8"/>
  <c r="M405" i="8"/>
  <c r="P405" i="8" s="1"/>
  <c r="M404" i="8"/>
  <c r="P407" i="8"/>
  <c r="P69" i="8"/>
  <c r="M121" i="8"/>
  <c r="P121" i="8" s="1"/>
  <c r="L134" i="8"/>
  <c r="L151" i="8"/>
  <c r="L149" i="8" s="1"/>
  <c r="N183" i="8"/>
  <c r="N181" i="8" s="1"/>
  <c r="O407" i="8"/>
  <c r="L421" i="8"/>
  <c r="L419" i="8" s="1"/>
  <c r="K823" i="8"/>
  <c r="K826" i="8"/>
  <c r="P56" i="8"/>
  <c r="J143" i="8"/>
  <c r="J131" i="8" s="1"/>
  <c r="N187" i="8"/>
  <c r="P333" i="8"/>
  <c r="L404" i="8"/>
  <c r="O404" i="8" s="1"/>
  <c r="K594" i="8"/>
  <c r="J722" i="8"/>
  <c r="K722" i="8" s="1"/>
  <c r="K144" i="8"/>
  <c r="M152" i="8"/>
  <c r="P152" i="8" s="1"/>
  <c r="L321" i="8"/>
  <c r="O321" i="8" s="1"/>
  <c r="M334" i="8"/>
  <c r="P334" i="8" s="1"/>
  <c r="K701" i="8"/>
  <c r="K821" i="8"/>
  <c r="K824" i="8"/>
  <c r="K827" i="8"/>
  <c r="O46" i="8"/>
  <c r="O353" i="8"/>
  <c r="K723" i="8"/>
  <c r="P54" i="8"/>
  <c r="I77" i="8"/>
  <c r="K81" i="8"/>
  <c r="N125" i="8"/>
  <c r="N121" i="8"/>
  <c r="N119" i="8" s="1"/>
  <c r="M304" i="8"/>
  <c r="P304" i="8" s="1"/>
  <c r="P306" i="8"/>
  <c r="O301" i="6"/>
  <c r="K145" i="7"/>
  <c r="N151" i="7"/>
  <c r="N149" i="7" s="1"/>
  <c r="I190" i="7"/>
  <c r="K190" i="7" s="1"/>
  <c r="N19" i="8"/>
  <c r="N12" i="8"/>
  <c r="N31" i="8"/>
  <c r="N30" i="8"/>
  <c r="N28" i="8" s="1"/>
  <c r="P67" i="8"/>
  <c r="K146" i="8"/>
  <c r="I130" i="8"/>
  <c r="K130" i="8" s="1"/>
  <c r="L533" i="2"/>
  <c r="O533" i="2" s="1"/>
  <c r="K255" i="6"/>
  <c r="M408" i="6"/>
  <c r="P408" i="6" s="1"/>
  <c r="K176" i="7"/>
  <c r="L263" i="7"/>
  <c r="L261" i="7" s="1"/>
  <c r="N405" i="7"/>
  <c r="K576" i="7"/>
  <c r="K822" i="7"/>
  <c r="K828" i="7"/>
  <c r="O32" i="8"/>
  <c r="L29" i="8"/>
  <c r="O124" i="8"/>
  <c r="L121" i="8"/>
  <c r="K143" i="8"/>
  <c r="I131" i="8"/>
  <c r="K131" i="8" s="1"/>
  <c r="I208" i="8"/>
  <c r="K208" i="8" s="1"/>
  <c r="O397" i="8"/>
  <c r="L395" i="8"/>
  <c r="O395" i="8" s="1"/>
  <c r="P525" i="8"/>
  <c r="M523" i="8"/>
  <c r="P523" i="8" s="1"/>
  <c r="O738" i="8"/>
  <c r="L737" i="8"/>
  <c r="O737" i="8" s="1"/>
  <c r="M90" i="7"/>
  <c r="M88" i="7" s="1"/>
  <c r="L229" i="7"/>
  <c r="O266" i="7"/>
  <c r="O351" i="7"/>
  <c r="P278" i="8"/>
  <c r="I275" i="7"/>
  <c r="N300" i="7"/>
  <c r="N298" i="7" s="1"/>
  <c r="P350" i="7"/>
  <c r="P353" i="7"/>
  <c r="K823" i="7"/>
  <c r="M26" i="8"/>
  <c r="M34" i="8"/>
  <c r="P34" i="8" s="1"/>
  <c r="P35" i="8"/>
  <c r="M29" i="8"/>
  <c r="M300" i="8"/>
  <c r="I314" i="8"/>
  <c r="K314" i="8" s="1"/>
  <c r="M279" i="7"/>
  <c r="M277" i="7" s="1"/>
  <c r="O549" i="7"/>
  <c r="K649" i="7"/>
  <c r="L91" i="8"/>
  <c r="O91" i="8" s="1"/>
  <c r="O93" i="8"/>
  <c r="L23" i="8"/>
  <c r="L90" i="8"/>
  <c r="P182" i="8"/>
  <c r="L12" i="8"/>
  <c r="O15" i="8"/>
  <c r="L19" i="8"/>
  <c r="O22" i="8"/>
  <c r="N26" i="8"/>
  <c r="N16" i="8" s="1"/>
  <c r="N14" i="8" s="1"/>
  <c r="M31" i="8"/>
  <c r="P31" i="8" s="1"/>
  <c r="O96" i="8"/>
  <c r="N151" i="8"/>
  <c r="O170" i="8"/>
  <c r="O186" i="8"/>
  <c r="P189" i="8"/>
  <c r="I216" i="8"/>
  <c r="K216" i="8" s="1"/>
  <c r="L238" i="8"/>
  <c r="L249" i="8"/>
  <c r="O249" i="8" s="1"/>
  <c r="O266" i="8"/>
  <c r="P58" i="8"/>
  <c r="P71" i="8"/>
  <c r="P280" i="8"/>
  <c r="O301" i="8"/>
  <c r="O333" i="8"/>
  <c r="L331" i="8"/>
  <c r="L330" i="8"/>
  <c r="J327" i="8"/>
  <c r="K327" i="8" s="1"/>
  <c r="O350" i="8"/>
  <c r="L347" i="8"/>
  <c r="L348" i="8"/>
  <c r="J537" i="8"/>
  <c r="J522" i="8" s="1"/>
  <c r="K539" i="8"/>
  <c r="L639" i="8"/>
  <c r="O639" i="8" s="1"/>
  <c r="O641" i="8"/>
  <c r="L631" i="8"/>
  <c r="L26" i="8"/>
  <c r="O449" i="8"/>
  <c r="L33" i="8"/>
  <c r="L446" i="8"/>
  <c r="O58" i="8"/>
  <c r="O71" i="8"/>
  <c r="O264" i="8"/>
  <c r="P282" i="8"/>
  <c r="M321" i="8"/>
  <c r="P321" i="8" s="1"/>
  <c r="P323" i="8"/>
  <c r="L447" i="8"/>
  <c r="O447" i="8" s="1"/>
  <c r="L454" i="8"/>
  <c r="O454" i="8" s="1"/>
  <c r="O456" i="8"/>
  <c r="L526" i="8"/>
  <c r="O526" i="8" s="1"/>
  <c r="O528" i="8"/>
  <c r="P545" i="8"/>
  <c r="M544" i="8"/>
  <c r="P544" i="8" s="1"/>
  <c r="M15" i="8"/>
  <c r="N23" i="8"/>
  <c r="N21" i="8" s="1"/>
  <c r="N55" i="8"/>
  <c r="N68" i="8"/>
  <c r="N134" i="8"/>
  <c r="N132" i="8" s="1"/>
  <c r="O173" i="8"/>
  <c r="M183" i="8"/>
  <c r="K244" i="8"/>
  <c r="I237" i="8"/>
  <c r="I233" i="8"/>
  <c r="K233" i="8" s="1"/>
  <c r="K255" i="8"/>
  <c r="I248" i="8"/>
  <c r="K248" i="8" s="1"/>
  <c r="O262" i="8"/>
  <c r="O269" i="8"/>
  <c r="I276" i="8"/>
  <c r="K276" i="8" s="1"/>
  <c r="M279" i="8"/>
  <c r="J288" i="8"/>
  <c r="J275" i="8" s="1"/>
  <c r="K275" i="8" s="1"/>
  <c r="L300" i="8"/>
  <c r="O303" i="8"/>
  <c r="L334" i="8"/>
  <c r="O334" i="8" s="1"/>
  <c r="L351" i="8"/>
  <c r="O394" i="8"/>
  <c r="L391" i="8"/>
  <c r="L429" i="8"/>
  <c r="O429" i="8" s="1"/>
  <c r="O431" i="8"/>
  <c r="L36" i="8"/>
  <c r="O479" i="8"/>
  <c r="L469" i="8"/>
  <c r="L477" i="8"/>
  <c r="O477" i="8" s="1"/>
  <c r="L525" i="8"/>
  <c r="O525" i="8" s="1"/>
  <c r="N525" i="8"/>
  <c r="N523" i="8" s="1"/>
  <c r="N414" i="8" s="1"/>
  <c r="N526" i="8"/>
  <c r="N655" i="8"/>
  <c r="K338" i="8"/>
  <c r="O524" i="8"/>
  <c r="K569" i="8"/>
  <c r="O755" i="8"/>
  <c r="L754" i="8"/>
  <c r="O754" i="8" s="1"/>
  <c r="N807" i="8"/>
  <c r="N805" i="8" s="1"/>
  <c r="N808" i="8"/>
  <c r="P316" i="8"/>
  <c r="K561" i="8"/>
  <c r="O771" i="8"/>
  <c r="L770" i="8"/>
  <c r="O770" i="8" s="1"/>
  <c r="L789" i="8"/>
  <c r="O789" i="8" s="1"/>
  <c r="O791" i="8"/>
  <c r="N331" i="8"/>
  <c r="N348" i="8"/>
  <c r="P348" i="8" s="1"/>
  <c r="N351" i="8"/>
  <c r="P351" i="8" s="1"/>
  <c r="I654" i="8"/>
  <c r="K654" i="8" s="1"/>
  <c r="L658" i="8"/>
  <c r="O658" i="8" s="1"/>
  <c r="M737" i="8"/>
  <c r="P737" i="8" s="1"/>
  <c r="M754" i="8"/>
  <c r="P754" i="8" s="1"/>
  <c r="M770" i="8"/>
  <c r="P770" i="8" s="1"/>
  <c r="L786" i="8"/>
  <c r="O786" i="8" s="1"/>
  <c r="L805" i="8"/>
  <c r="O805" i="8" s="1"/>
  <c r="K675" i="8"/>
  <c r="M685" i="8"/>
  <c r="P685" i="8" s="1"/>
  <c r="M786" i="8"/>
  <c r="P786" i="8" s="1"/>
  <c r="K800" i="8"/>
  <c r="M805" i="8"/>
  <c r="P805" i="8" s="1"/>
  <c r="K143" i="7"/>
  <c r="I131" i="7"/>
  <c r="K131" i="7" s="1"/>
  <c r="O657" i="7"/>
  <c r="L655" i="7"/>
  <c r="O655" i="7" s="1"/>
  <c r="L43" i="7"/>
  <c r="L41" i="7" s="1"/>
  <c r="M68" i="7"/>
  <c r="P68" i="7" s="1"/>
  <c r="M94" i="7"/>
  <c r="P94" i="7" s="1"/>
  <c r="K115" i="7"/>
  <c r="M135" i="7"/>
  <c r="P135" i="7" s="1"/>
  <c r="L138" i="7"/>
  <c r="O138" i="7" s="1"/>
  <c r="O186" i="7"/>
  <c r="P269" i="7"/>
  <c r="N279" i="7"/>
  <c r="N277" i="7" s="1"/>
  <c r="M283" i="7"/>
  <c r="P283" i="7" s="1"/>
  <c r="N317" i="7"/>
  <c r="N315" i="7" s="1"/>
  <c r="O323" i="7"/>
  <c r="P333" i="7"/>
  <c r="L546" i="7"/>
  <c r="O546" i="7" s="1"/>
  <c r="M267" i="4"/>
  <c r="P267" i="4" s="1"/>
  <c r="N68" i="7"/>
  <c r="N66" i="7" s="1"/>
  <c r="M72" i="7"/>
  <c r="P72" i="7" s="1"/>
  <c r="M138" i="7"/>
  <c r="P138" i="7" s="1"/>
  <c r="L184" i="7"/>
  <c r="I208" i="7"/>
  <c r="K208" i="7" s="1"/>
  <c r="K359" i="7"/>
  <c r="I654" i="7"/>
  <c r="K654" i="7" s="1"/>
  <c r="O660" i="7"/>
  <c r="L55" i="7"/>
  <c r="L53" i="7" s="1"/>
  <c r="J143" i="7"/>
  <c r="J131" i="7" s="1"/>
  <c r="O336" i="7"/>
  <c r="L347" i="7"/>
  <c r="K460" i="7"/>
  <c r="I76" i="7"/>
  <c r="I64" i="7" s="1"/>
  <c r="K64" i="7" s="1"/>
  <c r="O93" i="7"/>
  <c r="P170" i="7"/>
  <c r="O280" i="7"/>
  <c r="M347" i="7"/>
  <c r="K360" i="7"/>
  <c r="L33" i="7"/>
  <c r="L31" i="7" s="1"/>
  <c r="O31" i="7" s="1"/>
  <c r="I522" i="7"/>
  <c r="K522" i="7" s="1"/>
  <c r="M347" i="6"/>
  <c r="M345" i="6" s="1"/>
  <c r="P93" i="7"/>
  <c r="N167" i="7"/>
  <c r="N165" i="7" s="1"/>
  <c r="L238" i="7"/>
  <c r="O238" i="7" s="1"/>
  <c r="N263" i="7"/>
  <c r="P280" i="7"/>
  <c r="J364" i="7"/>
  <c r="K378" i="7"/>
  <c r="K381" i="7"/>
  <c r="N121" i="3"/>
  <c r="N119" i="3" s="1"/>
  <c r="I443" i="5"/>
  <c r="K443" i="5" s="1"/>
  <c r="I276" i="6"/>
  <c r="K276" i="6" s="1"/>
  <c r="N317" i="6"/>
  <c r="N315" i="6" s="1"/>
  <c r="L547" i="6"/>
  <c r="O547" i="6" s="1"/>
  <c r="M55" i="7"/>
  <c r="M53" i="7" s="1"/>
  <c r="L121" i="7"/>
  <c r="N171" i="7"/>
  <c r="N184" i="7"/>
  <c r="L187" i="7"/>
  <c r="O187" i="7" s="1"/>
  <c r="K325" i="7"/>
  <c r="I314" i="7"/>
  <c r="K314" i="7" s="1"/>
  <c r="L330" i="7"/>
  <c r="L328" i="7" s="1"/>
  <c r="K365" i="7"/>
  <c r="K372" i="7"/>
  <c r="P394" i="7"/>
  <c r="M391" i="7"/>
  <c r="P391" i="7" s="1"/>
  <c r="K435" i="7"/>
  <c r="I433" i="7"/>
  <c r="I417" i="7" s="1"/>
  <c r="K440" i="7"/>
  <c r="K309" i="7"/>
  <c r="I297" i="7"/>
  <c r="K297" i="7" s="1"/>
  <c r="O93" i="5"/>
  <c r="O186" i="6"/>
  <c r="K325" i="6"/>
  <c r="M23" i="7"/>
  <c r="M43" i="7"/>
  <c r="O61" i="7"/>
  <c r="L69" i="7"/>
  <c r="O69" i="7" s="1"/>
  <c r="M91" i="7"/>
  <c r="P91" i="7" s="1"/>
  <c r="M26" i="7"/>
  <c r="M16" i="7" s="1"/>
  <c r="M121" i="7"/>
  <c r="M125" i="7"/>
  <c r="P125" i="7" s="1"/>
  <c r="L134" i="7"/>
  <c r="L132" i="7" s="1"/>
  <c r="O132" i="7" s="1"/>
  <c r="I148" i="7"/>
  <c r="K148" i="7" s="1"/>
  <c r="L151" i="7"/>
  <c r="L149" i="7" s="1"/>
  <c r="L217" i="7"/>
  <c r="O217" i="7" s="1"/>
  <c r="L533" i="7"/>
  <c r="O533" i="7" s="1"/>
  <c r="O535" i="7"/>
  <c r="I628" i="7"/>
  <c r="K628" i="7" s="1"/>
  <c r="K651" i="7"/>
  <c r="K672" i="7"/>
  <c r="O397" i="7"/>
  <c r="L395" i="7"/>
  <c r="O395" i="7" s="1"/>
  <c r="L391" i="7"/>
  <c r="O391" i="7" s="1"/>
  <c r="L229" i="4"/>
  <c r="P58" i="6"/>
  <c r="I434" i="6"/>
  <c r="K434" i="6" s="1"/>
  <c r="N23" i="7"/>
  <c r="N21" i="7" s="1"/>
  <c r="N43" i="7"/>
  <c r="N41" i="7" s="1"/>
  <c r="P46" i="7"/>
  <c r="M69" i="7"/>
  <c r="P69" i="7" s="1"/>
  <c r="L72" i="7"/>
  <c r="O72" i="7" s="1"/>
  <c r="K99" i="7"/>
  <c r="N121" i="7"/>
  <c r="N119" i="7" s="1"/>
  <c r="O127" i="7"/>
  <c r="M134" i="7"/>
  <c r="M151" i="7"/>
  <c r="P154" i="7"/>
  <c r="M167" i="7"/>
  <c r="M165" i="7" s="1"/>
  <c r="O170" i="7"/>
  <c r="L231" i="7"/>
  <c r="O264" i="7"/>
  <c r="L300" i="7"/>
  <c r="O300" i="7" s="1"/>
  <c r="O303" i="7"/>
  <c r="O306" i="7"/>
  <c r="L304" i="7"/>
  <c r="O304" i="7" s="1"/>
  <c r="L317" i="7"/>
  <c r="O317" i="7" s="1"/>
  <c r="O320" i="7"/>
  <c r="L318" i="7"/>
  <c r="O318" i="7" s="1"/>
  <c r="K673" i="7"/>
  <c r="K87" i="7"/>
  <c r="P407" i="7"/>
  <c r="M404" i="7"/>
  <c r="O282" i="6"/>
  <c r="L405" i="6"/>
  <c r="O405" i="6" s="1"/>
  <c r="I77" i="7"/>
  <c r="N134" i="7"/>
  <c r="N132" i="7" s="1"/>
  <c r="M183" i="7"/>
  <c r="I216" i="7"/>
  <c r="K216" i="7" s="1"/>
  <c r="L228" i="7"/>
  <c r="M264" i="7"/>
  <c r="P264" i="7" s="1"/>
  <c r="P266" i="7"/>
  <c r="L267" i="7"/>
  <c r="O267" i="7" s="1"/>
  <c r="O269" i="7"/>
  <c r="M301" i="7"/>
  <c r="P301" i="7" s="1"/>
  <c r="M300" i="7"/>
  <c r="L687" i="7"/>
  <c r="O687" i="7" s="1"/>
  <c r="L688" i="7"/>
  <c r="O688" i="7" s="1"/>
  <c r="J721" i="7"/>
  <c r="K288" i="7"/>
  <c r="J275" i="7"/>
  <c r="P137" i="6"/>
  <c r="P152" i="6"/>
  <c r="I208" i="6"/>
  <c r="K208" i="6" s="1"/>
  <c r="P44" i="7"/>
  <c r="L68" i="7"/>
  <c r="L66" i="7" s="1"/>
  <c r="O66" i="7" s="1"/>
  <c r="K81" i="7"/>
  <c r="L90" i="7"/>
  <c r="K100" i="7"/>
  <c r="M155" i="7"/>
  <c r="P155" i="7" s="1"/>
  <c r="M168" i="7"/>
  <c r="P168" i="7" s="1"/>
  <c r="N183" i="7"/>
  <c r="N181" i="7" s="1"/>
  <c r="P186" i="7"/>
  <c r="L209" i="7"/>
  <c r="O209" i="7" s="1"/>
  <c r="I276" i="7"/>
  <c r="K276" i="7" s="1"/>
  <c r="K385" i="7"/>
  <c r="O407" i="7"/>
  <c r="L404" i="7"/>
  <c r="J537" i="7"/>
  <c r="J522" i="7" s="1"/>
  <c r="K669" i="7"/>
  <c r="O350" i="7"/>
  <c r="K362" i="7"/>
  <c r="O449" i="7"/>
  <c r="K466" i="7"/>
  <c r="O333" i="7"/>
  <c r="N348" i="7"/>
  <c r="O348" i="7" s="1"/>
  <c r="O353" i="7"/>
  <c r="K374" i="7"/>
  <c r="L469" i="7"/>
  <c r="O469" i="7" s="1"/>
  <c r="K800" i="7"/>
  <c r="N331" i="7"/>
  <c r="O331" i="7" s="1"/>
  <c r="J327" i="7"/>
  <c r="K327" i="7" s="1"/>
  <c r="K369" i="7"/>
  <c r="K708" i="4"/>
  <c r="M134" i="5"/>
  <c r="P134" i="5" s="1"/>
  <c r="L72" i="6"/>
  <c r="O72" i="6" s="1"/>
  <c r="L122" i="6"/>
  <c r="O122" i="6" s="1"/>
  <c r="L155" i="6"/>
  <c r="O155" i="6" s="1"/>
  <c r="K176" i="6"/>
  <c r="M187" i="6"/>
  <c r="P187" i="6" s="1"/>
  <c r="N279" i="6"/>
  <c r="N277" i="6" s="1"/>
  <c r="P282" i="6"/>
  <c r="J722" i="6"/>
  <c r="M19" i="7"/>
  <c r="K78" i="7"/>
  <c r="L238" i="6"/>
  <c r="O238" i="6" s="1"/>
  <c r="L391" i="6"/>
  <c r="O391" i="6" s="1"/>
  <c r="M28" i="7"/>
  <c r="P28" i="7" s="1"/>
  <c r="P29" i="7"/>
  <c r="M34" i="7"/>
  <c r="P34" i="7" s="1"/>
  <c r="P35" i="7"/>
  <c r="P58" i="7"/>
  <c r="N56" i="7"/>
  <c r="K593" i="5"/>
  <c r="L134" i="6"/>
  <c r="J288" i="6"/>
  <c r="K288" i="6" s="1"/>
  <c r="I442" i="6"/>
  <c r="K442" i="6" s="1"/>
  <c r="O634" i="6"/>
  <c r="O22" i="7"/>
  <c r="L19" i="7"/>
  <c r="L12" i="7"/>
  <c r="O58" i="7"/>
  <c r="M279" i="5"/>
  <c r="M277" i="5" s="1"/>
  <c r="L447" i="5"/>
  <c r="O447" i="5" s="1"/>
  <c r="L43" i="6"/>
  <c r="L41" i="6" s="1"/>
  <c r="M56" i="6"/>
  <c r="P56" i="6" s="1"/>
  <c r="L69" i="6"/>
  <c r="O69" i="6" s="1"/>
  <c r="I86" i="6"/>
  <c r="K86" i="6" s="1"/>
  <c r="L135" i="6"/>
  <c r="O135" i="6" s="1"/>
  <c r="I233" i="6"/>
  <c r="K233" i="6" s="1"/>
  <c r="L347" i="6"/>
  <c r="L345" i="6" s="1"/>
  <c r="K385" i="6"/>
  <c r="P12" i="7"/>
  <c r="M15" i="7"/>
  <c r="N30" i="7"/>
  <c r="N28" i="7" s="1"/>
  <c r="L23" i="7"/>
  <c r="O46" i="7"/>
  <c r="N55" i="7"/>
  <c r="P61" i="7"/>
  <c r="N59" i="7"/>
  <c r="P59" i="7" s="1"/>
  <c r="N26" i="7"/>
  <c r="O788" i="7"/>
  <c r="L786" i="7"/>
  <c r="O786" i="7" s="1"/>
  <c r="N134" i="4"/>
  <c r="N132" i="4" s="1"/>
  <c r="L267" i="4"/>
  <c r="O267" i="4" s="1"/>
  <c r="L121" i="6"/>
  <c r="L119" i="6" s="1"/>
  <c r="O350" i="6"/>
  <c r="M9" i="7"/>
  <c r="P22" i="7"/>
  <c r="L26" i="7"/>
  <c r="O49" i="7"/>
  <c r="O89" i="7"/>
  <c r="K174" i="7"/>
  <c r="I164" i="7"/>
  <c r="K164" i="7" s="1"/>
  <c r="P96" i="7"/>
  <c r="O166" i="7"/>
  <c r="P182" i="7"/>
  <c r="O282" i="7"/>
  <c r="M321" i="7"/>
  <c r="P321" i="7" s="1"/>
  <c r="P323" i="7"/>
  <c r="L526" i="7"/>
  <c r="O526" i="7" s="1"/>
  <c r="O528" i="7"/>
  <c r="P545" i="7"/>
  <c r="M544" i="7"/>
  <c r="P544" i="7" s="1"/>
  <c r="I543" i="7"/>
  <c r="K543" i="7" s="1"/>
  <c r="K559" i="7"/>
  <c r="K592" i="7"/>
  <c r="O771" i="7"/>
  <c r="L770" i="7"/>
  <c r="O770" i="7" s="1"/>
  <c r="L91" i="7"/>
  <c r="O91" i="7" s="1"/>
  <c r="L94" i="7"/>
  <c r="O94" i="7" s="1"/>
  <c r="N152" i="7"/>
  <c r="P152" i="7" s="1"/>
  <c r="L168" i="7"/>
  <c r="O168" i="7" s="1"/>
  <c r="L171" i="7"/>
  <c r="O171" i="7" s="1"/>
  <c r="M184" i="7"/>
  <c r="M187" i="7"/>
  <c r="P187" i="7" s="1"/>
  <c r="I233" i="7"/>
  <c r="K233" i="7" s="1"/>
  <c r="I248" i="7"/>
  <c r="K248" i="7" s="1"/>
  <c r="P282" i="7"/>
  <c r="K594" i="7"/>
  <c r="P739" i="7"/>
  <c r="M737" i="7"/>
  <c r="P737" i="7" s="1"/>
  <c r="O807" i="7"/>
  <c r="L805" i="7"/>
  <c r="O805" i="7" s="1"/>
  <c r="K379" i="7"/>
  <c r="L639" i="7"/>
  <c r="O639" i="7" s="1"/>
  <c r="O641" i="7"/>
  <c r="L631" i="7"/>
  <c r="L629" i="7" s="1"/>
  <c r="O629" i="7" s="1"/>
  <c r="J722" i="7"/>
  <c r="O738" i="7"/>
  <c r="L737" i="7"/>
  <c r="O737" i="7" s="1"/>
  <c r="I197" i="7"/>
  <c r="K197" i="7" s="1"/>
  <c r="O316" i="7"/>
  <c r="L429" i="7"/>
  <c r="O429" i="7" s="1"/>
  <c r="O431" i="7"/>
  <c r="L421" i="7"/>
  <c r="L419" i="7" s="1"/>
  <c r="P756" i="7"/>
  <c r="M754" i="7"/>
  <c r="P754" i="7" s="1"/>
  <c r="L789" i="7"/>
  <c r="O789" i="7" s="1"/>
  <c r="O791" i="7"/>
  <c r="N807" i="7"/>
  <c r="N808" i="7"/>
  <c r="K146" i="7"/>
  <c r="I237" i="7"/>
  <c r="L249" i="7"/>
  <c r="O249" i="7" s="1"/>
  <c r="L279" i="7"/>
  <c r="M318" i="7"/>
  <c r="P318" i="7" s="1"/>
  <c r="P320" i="7"/>
  <c r="P419" i="7"/>
  <c r="L525" i="7"/>
  <c r="N737" i="7"/>
  <c r="O755" i="7"/>
  <c r="L754" i="7"/>
  <c r="O754" i="7" s="1"/>
  <c r="O285" i="7"/>
  <c r="K370" i="7"/>
  <c r="L454" i="7"/>
  <c r="O454" i="7" s="1"/>
  <c r="O456" i="7"/>
  <c r="L446" i="7"/>
  <c r="O446" i="7" s="1"/>
  <c r="P772" i="7"/>
  <c r="M770" i="7"/>
  <c r="P770" i="7" s="1"/>
  <c r="N805" i="7"/>
  <c r="O299" i="7"/>
  <c r="P303" i="7"/>
  <c r="P306" i="7"/>
  <c r="M331" i="7"/>
  <c r="M334" i="7"/>
  <c r="P334" i="7" s="1"/>
  <c r="M348" i="7"/>
  <c r="M351" i="7"/>
  <c r="P351" i="7" s="1"/>
  <c r="J355" i="7"/>
  <c r="K355" i="7" s="1"/>
  <c r="M392" i="7"/>
  <c r="P392" i="7" s="1"/>
  <c r="M395" i="7"/>
  <c r="P395" i="7" s="1"/>
  <c r="L470" i="7"/>
  <c r="O470" i="7" s="1"/>
  <c r="K674" i="7"/>
  <c r="N421" i="7"/>
  <c r="N419" i="7" s="1"/>
  <c r="N446" i="7"/>
  <c r="N444" i="7" s="1"/>
  <c r="N505" i="7"/>
  <c r="M523" i="7"/>
  <c r="P523" i="7" s="1"/>
  <c r="N631" i="7"/>
  <c r="N629" i="7" s="1"/>
  <c r="M685" i="7"/>
  <c r="P685" i="7" s="1"/>
  <c r="M786" i="7"/>
  <c r="P786" i="7" s="1"/>
  <c r="M805" i="7"/>
  <c r="P805" i="7" s="1"/>
  <c r="J433" i="7"/>
  <c r="J417" i="7" s="1"/>
  <c r="L502" i="7"/>
  <c r="O502" i="7" s="1"/>
  <c r="K593" i="7"/>
  <c r="M629" i="7"/>
  <c r="P629" i="7" s="1"/>
  <c r="P306" i="5"/>
  <c r="N68" i="6"/>
  <c r="N66" i="6" s="1"/>
  <c r="L217" i="6"/>
  <c r="O217" i="6" s="1"/>
  <c r="M317" i="6"/>
  <c r="L351" i="6"/>
  <c r="L546" i="6"/>
  <c r="L544" i="6" s="1"/>
  <c r="K823" i="6"/>
  <c r="K826" i="6"/>
  <c r="L167" i="6"/>
  <c r="L165" i="6" s="1"/>
  <c r="N26" i="6"/>
  <c r="N24" i="6" s="1"/>
  <c r="L300" i="6"/>
  <c r="L298" i="6" s="1"/>
  <c r="O306" i="6"/>
  <c r="J327" i="6"/>
  <c r="K327" i="6" s="1"/>
  <c r="I785" i="4"/>
  <c r="K785" i="4" s="1"/>
  <c r="K176" i="5"/>
  <c r="L230" i="5"/>
  <c r="L55" i="6"/>
  <c r="L53" i="6" s="1"/>
  <c r="M155" i="6"/>
  <c r="P155" i="6" s="1"/>
  <c r="N183" i="6"/>
  <c r="N181" i="6" s="1"/>
  <c r="L283" i="6"/>
  <c r="O283" i="6" s="1"/>
  <c r="K340" i="6"/>
  <c r="L395" i="6"/>
  <c r="O395" i="6" s="1"/>
  <c r="M405" i="6"/>
  <c r="P405" i="6" s="1"/>
  <c r="L408" i="6"/>
  <c r="O408" i="6" s="1"/>
  <c r="O424" i="6"/>
  <c r="L469" i="6"/>
  <c r="L467" i="6" s="1"/>
  <c r="O467" i="6" s="1"/>
  <c r="K800" i="6"/>
  <c r="K821" i="6"/>
  <c r="K824" i="6"/>
  <c r="K827" i="6"/>
  <c r="L69" i="4"/>
  <c r="O69" i="4" s="1"/>
  <c r="L72" i="4"/>
  <c r="O72" i="4" s="1"/>
  <c r="I112" i="6"/>
  <c r="K112" i="6" s="1"/>
  <c r="L229" i="6"/>
  <c r="L231" i="6"/>
  <c r="L36" i="6"/>
  <c r="O36" i="6" s="1"/>
  <c r="K649" i="6"/>
  <c r="K700" i="6"/>
  <c r="L533" i="4"/>
  <c r="O533" i="4" s="1"/>
  <c r="N68" i="5"/>
  <c r="N66" i="5" s="1"/>
  <c r="N121" i="5"/>
  <c r="N119" i="5" s="1"/>
  <c r="I77" i="6"/>
  <c r="I65" i="6" s="1"/>
  <c r="K65" i="6" s="1"/>
  <c r="O125" i="6"/>
  <c r="O127" i="6"/>
  <c r="N134" i="6"/>
  <c r="N132" i="6" s="1"/>
  <c r="P154" i="6"/>
  <c r="I190" i="6"/>
  <c r="K190" i="6" s="1"/>
  <c r="O264" i="6"/>
  <c r="O353" i="6"/>
  <c r="K360" i="6"/>
  <c r="K369" i="6"/>
  <c r="K372" i="6"/>
  <c r="K647" i="6"/>
  <c r="K669" i="6"/>
  <c r="L788" i="1"/>
  <c r="L786" i="1" s="1"/>
  <c r="M404" i="3"/>
  <c r="P404" i="3" s="1"/>
  <c r="I314" i="4"/>
  <c r="K314" i="4" s="1"/>
  <c r="N43" i="5"/>
  <c r="N41" i="5" s="1"/>
  <c r="N69" i="5"/>
  <c r="P69" i="5" s="1"/>
  <c r="N167" i="5"/>
  <c r="N165" i="5" s="1"/>
  <c r="L217" i="5"/>
  <c r="O217" i="5" s="1"/>
  <c r="P397" i="5"/>
  <c r="M395" i="5"/>
  <c r="P395" i="5" s="1"/>
  <c r="L263" i="6"/>
  <c r="L261" i="6" s="1"/>
  <c r="O269" i="6"/>
  <c r="L267" i="6"/>
  <c r="O267" i="6" s="1"/>
  <c r="N404" i="6"/>
  <c r="N402" i="6" s="1"/>
  <c r="N405" i="6"/>
  <c r="K651" i="6"/>
  <c r="I628" i="6"/>
  <c r="K628" i="6" s="1"/>
  <c r="M138" i="5"/>
  <c r="P138" i="5" s="1"/>
  <c r="M151" i="5"/>
  <c r="P151" i="5" s="1"/>
  <c r="I216" i="5"/>
  <c r="K216" i="5" s="1"/>
  <c r="I275" i="5"/>
  <c r="K275" i="5" s="1"/>
  <c r="P336" i="5"/>
  <c r="M334" i="5"/>
  <c r="P334" i="5" s="1"/>
  <c r="K370" i="5"/>
  <c r="P394" i="5"/>
  <c r="M392" i="5"/>
  <c r="P392" i="5" s="1"/>
  <c r="I143" i="6"/>
  <c r="I131" i="6" s="1"/>
  <c r="K145" i="6"/>
  <c r="L151" i="6"/>
  <c r="L149" i="6" s="1"/>
  <c r="O154" i="6"/>
  <c r="L152" i="6"/>
  <c r="O152" i="6" s="1"/>
  <c r="M300" i="6"/>
  <c r="M298" i="6" s="1"/>
  <c r="P303" i="6"/>
  <c r="M301" i="6"/>
  <c r="P301" i="6" s="1"/>
  <c r="J537" i="6"/>
  <c r="J522" i="6" s="1"/>
  <c r="K522" i="6" s="1"/>
  <c r="K538" i="6"/>
  <c r="L422" i="5"/>
  <c r="O422" i="5" s="1"/>
  <c r="M279" i="6"/>
  <c r="P285" i="6"/>
  <c r="M283" i="6"/>
  <c r="P283" i="6" s="1"/>
  <c r="M122" i="5"/>
  <c r="P122" i="5" s="1"/>
  <c r="L304" i="5"/>
  <c r="O304" i="5" s="1"/>
  <c r="M55" i="6"/>
  <c r="M53" i="6" s="1"/>
  <c r="P61" i="6"/>
  <c r="M59" i="6"/>
  <c r="P59" i="6" s="1"/>
  <c r="M135" i="6"/>
  <c r="P135" i="6" s="1"/>
  <c r="N183" i="4"/>
  <c r="N181" i="4" s="1"/>
  <c r="L152" i="5"/>
  <c r="O152" i="5" s="1"/>
  <c r="J721" i="5"/>
  <c r="N43" i="6"/>
  <c r="N41" i="6" s="1"/>
  <c r="P46" i="6"/>
  <c r="O46" i="6"/>
  <c r="N44" i="6"/>
  <c r="P44" i="6" s="1"/>
  <c r="M125" i="6"/>
  <c r="P125" i="6" s="1"/>
  <c r="M121" i="6"/>
  <c r="M119" i="6" s="1"/>
  <c r="L138" i="6"/>
  <c r="O138" i="6" s="1"/>
  <c r="L26" i="6"/>
  <c r="L24" i="6" s="1"/>
  <c r="M151" i="6"/>
  <c r="M149" i="6" s="1"/>
  <c r="M263" i="6"/>
  <c r="M261" i="6" s="1"/>
  <c r="L331" i="6"/>
  <c r="L330" i="6"/>
  <c r="L328" i="6" s="1"/>
  <c r="L547" i="5"/>
  <c r="O547" i="5" s="1"/>
  <c r="O170" i="5"/>
  <c r="O660" i="6"/>
  <c r="L657" i="6"/>
  <c r="L655" i="6" s="1"/>
  <c r="O655" i="6" s="1"/>
  <c r="L33" i="6"/>
  <c r="O33" i="6" s="1"/>
  <c r="P140" i="6"/>
  <c r="P264" i="6"/>
  <c r="K374" i="6"/>
  <c r="J721" i="6"/>
  <c r="K204" i="6"/>
  <c r="O333" i="6"/>
  <c r="N351" i="6"/>
  <c r="K355" i="6"/>
  <c r="I443" i="6"/>
  <c r="K443" i="6" s="1"/>
  <c r="O479" i="6"/>
  <c r="L687" i="6"/>
  <c r="O687" i="6" s="1"/>
  <c r="K785" i="6"/>
  <c r="M23" i="6"/>
  <c r="M21" i="6" s="1"/>
  <c r="L47" i="6"/>
  <c r="O47" i="6" s="1"/>
  <c r="L68" i="6"/>
  <c r="O68" i="6" s="1"/>
  <c r="M72" i="6"/>
  <c r="P72" i="6" s="1"/>
  <c r="K79" i="6"/>
  <c r="K115" i="6"/>
  <c r="M122" i="6"/>
  <c r="P122" i="6" s="1"/>
  <c r="I130" i="6"/>
  <c r="K130" i="6" s="1"/>
  <c r="I260" i="6"/>
  <c r="K260" i="6" s="1"/>
  <c r="L280" i="6"/>
  <c r="O280" i="6" s="1"/>
  <c r="P280" i="6"/>
  <c r="N318" i="6"/>
  <c r="P318" i="6" s="1"/>
  <c r="M321" i="6"/>
  <c r="P321" i="6" s="1"/>
  <c r="N331" i="6"/>
  <c r="L334" i="6"/>
  <c r="O334" i="6" s="1"/>
  <c r="L392" i="6"/>
  <c r="O392" i="6" s="1"/>
  <c r="N391" i="6"/>
  <c r="N389" i="6" s="1"/>
  <c r="O690" i="6"/>
  <c r="J143" i="6"/>
  <c r="J131" i="6" s="1"/>
  <c r="P269" i="6"/>
  <c r="L279" i="6"/>
  <c r="J364" i="6"/>
  <c r="K370" i="6"/>
  <c r="L525" i="6"/>
  <c r="O525" i="6" s="1"/>
  <c r="I654" i="6"/>
  <c r="K654" i="6" s="1"/>
  <c r="K673" i="6"/>
  <c r="N23" i="6"/>
  <c r="N13" i="6" s="1"/>
  <c r="N11" i="6" s="1"/>
  <c r="O137" i="6"/>
  <c r="L209" i="6"/>
  <c r="O209" i="6" s="1"/>
  <c r="K338" i="6"/>
  <c r="K359" i="6"/>
  <c r="K378" i="6"/>
  <c r="K381" i="6"/>
  <c r="K822" i="6"/>
  <c r="K825" i="6"/>
  <c r="K828" i="6"/>
  <c r="K359" i="4"/>
  <c r="K362" i="4"/>
  <c r="P58" i="5"/>
  <c r="P61" i="5"/>
  <c r="L94" i="5"/>
  <c r="O94" i="5" s="1"/>
  <c r="M280" i="5"/>
  <c r="P280" i="5" s="1"/>
  <c r="K360" i="5"/>
  <c r="K378" i="5"/>
  <c r="M405" i="5"/>
  <c r="P405" i="5" s="1"/>
  <c r="N404" i="5"/>
  <c r="N402" i="5" s="1"/>
  <c r="L421" i="5"/>
  <c r="O421" i="5" s="1"/>
  <c r="K594" i="5"/>
  <c r="K822" i="5"/>
  <c r="K825" i="5"/>
  <c r="K828" i="5"/>
  <c r="M19" i="6"/>
  <c r="M30" i="6"/>
  <c r="P30" i="6" s="1"/>
  <c r="O35" i="6"/>
  <c r="O42" i="6"/>
  <c r="N55" i="6"/>
  <c r="K164" i="6"/>
  <c r="O74" i="5"/>
  <c r="I208" i="5"/>
  <c r="K208" i="5" s="1"/>
  <c r="P32" i="6"/>
  <c r="M29" i="6"/>
  <c r="P54" i="6"/>
  <c r="L56" i="6"/>
  <c r="O56" i="6" s="1"/>
  <c r="O58" i="6"/>
  <c r="K78" i="6"/>
  <c r="I76" i="6"/>
  <c r="L91" i="6"/>
  <c r="O93" i="6"/>
  <c r="K159" i="6"/>
  <c r="I148" i="6"/>
  <c r="K148" i="6" s="1"/>
  <c r="L168" i="6"/>
  <c r="O170" i="6"/>
  <c r="O184" i="6"/>
  <c r="O189" i="6"/>
  <c r="N317" i="4"/>
  <c r="N315" i="4" s="1"/>
  <c r="N55" i="5"/>
  <c r="N53" i="5" s="1"/>
  <c r="I297" i="5"/>
  <c r="K297" i="5" s="1"/>
  <c r="P320" i="5"/>
  <c r="J327" i="5"/>
  <c r="K327" i="5" s="1"/>
  <c r="L347" i="5"/>
  <c r="L345" i="5" s="1"/>
  <c r="O15" i="6"/>
  <c r="L23" i="6"/>
  <c r="L21" i="6" s="1"/>
  <c r="O29" i="6"/>
  <c r="I87" i="6"/>
  <c r="K87" i="6" s="1"/>
  <c r="K99" i="6"/>
  <c r="M134" i="6"/>
  <c r="M138" i="6"/>
  <c r="P138" i="6" s="1"/>
  <c r="P186" i="6"/>
  <c r="M183" i="6"/>
  <c r="M184" i="6"/>
  <c r="P184" i="6" s="1"/>
  <c r="L198" i="6"/>
  <c r="O198" i="6" s="1"/>
  <c r="K355" i="4"/>
  <c r="M31" i="6"/>
  <c r="P31" i="6" s="1"/>
  <c r="M43" i="6"/>
  <c r="N90" i="6"/>
  <c r="N88" i="6" s="1"/>
  <c r="N91" i="6"/>
  <c r="P91" i="6" s="1"/>
  <c r="P96" i="6"/>
  <c r="M94" i="6"/>
  <c r="P94" i="6" s="1"/>
  <c r="N167" i="6"/>
  <c r="N168" i="6"/>
  <c r="P168" i="6" s="1"/>
  <c r="P173" i="6"/>
  <c r="M171" i="6"/>
  <c r="P171" i="6" s="1"/>
  <c r="N151" i="5"/>
  <c r="N149" i="5" s="1"/>
  <c r="P12" i="6"/>
  <c r="O22" i="6"/>
  <c r="L19" i="6"/>
  <c r="L12" i="6"/>
  <c r="P25" i="6"/>
  <c r="M15" i="6"/>
  <c r="L59" i="6"/>
  <c r="O59" i="6" s="1"/>
  <c r="O61" i="6"/>
  <c r="O67" i="6"/>
  <c r="O133" i="6"/>
  <c r="N155" i="6"/>
  <c r="N151" i="6"/>
  <c r="N149" i="6" s="1"/>
  <c r="I86" i="5"/>
  <c r="K86" i="5" s="1"/>
  <c r="P93" i="5"/>
  <c r="M155" i="5"/>
  <c r="P155" i="5" s="1"/>
  <c r="L167" i="5"/>
  <c r="M26" i="6"/>
  <c r="M24" i="6" s="1"/>
  <c r="M47" i="6"/>
  <c r="P47" i="6" s="1"/>
  <c r="P71" i="6"/>
  <c r="M68" i="6"/>
  <c r="P89" i="6"/>
  <c r="N122" i="6"/>
  <c r="N121" i="6"/>
  <c r="P166" i="6"/>
  <c r="O182" i="6"/>
  <c r="P93" i="6"/>
  <c r="O96" i="6"/>
  <c r="P170" i="6"/>
  <c r="O173" i="6"/>
  <c r="I216" i="6"/>
  <c r="K216" i="6" s="1"/>
  <c r="N263" i="6"/>
  <c r="P266" i="6"/>
  <c r="N300" i="6"/>
  <c r="O303" i="6"/>
  <c r="P320" i="6"/>
  <c r="P316" i="6"/>
  <c r="O323" i="6"/>
  <c r="L321" i="6"/>
  <c r="O321" i="6" s="1"/>
  <c r="M90" i="6"/>
  <c r="M88" i="6" s="1"/>
  <c r="P127" i="6"/>
  <c r="P133" i="6"/>
  <c r="M167" i="6"/>
  <c r="M165" i="6" s="1"/>
  <c r="K174" i="6"/>
  <c r="L183" i="6"/>
  <c r="P336" i="6"/>
  <c r="M334" i="6"/>
  <c r="P334" i="6" s="1"/>
  <c r="O346" i="6"/>
  <c r="N347" i="6"/>
  <c r="N348" i="6"/>
  <c r="O348" i="6" s="1"/>
  <c r="K365" i="6"/>
  <c r="I364" i="6"/>
  <c r="O788" i="6"/>
  <c r="L786" i="6"/>
  <c r="O786" i="6" s="1"/>
  <c r="O140" i="6"/>
  <c r="K244" i="6"/>
  <c r="I237" i="6"/>
  <c r="L249" i="6"/>
  <c r="O249" i="6" s="1"/>
  <c r="L228" i="6"/>
  <c r="O266" i="6"/>
  <c r="O320" i="6"/>
  <c r="L318" i="6"/>
  <c r="P333" i="6"/>
  <c r="M331" i="6"/>
  <c r="M330" i="6"/>
  <c r="K362" i="6"/>
  <c r="K225" i="6"/>
  <c r="N330" i="6"/>
  <c r="O403" i="6"/>
  <c r="N419" i="6"/>
  <c r="L454" i="6"/>
  <c r="O454" i="6" s="1"/>
  <c r="O456" i="6"/>
  <c r="L446" i="6"/>
  <c r="O446" i="6" s="1"/>
  <c r="K592" i="6"/>
  <c r="P739" i="6"/>
  <c r="M737" i="6"/>
  <c r="P737" i="6" s="1"/>
  <c r="P350" i="6"/>
  <c r="M348" i="6"/>
  <c r="K379" i="6"/>
  <c r="P397" i="6"/>
  <c r="M395" i="6"/>
  <c r="P395" i="6" s="1"/>
  <c r="O472" i="6"/>
  <c r="K576" i="6"/>
  <c r="K594" i="6"/>
  <c r="L639" i="6"/>
  <c r="O639" i="6" s="1"/>
  <c r="O641" i="6"/>
  <c r="L631" i="6"/>
  <c r="O738" i="6"/>
  <c r="L737" i="6"/>
  <c r="O737" i="6" s="1"/>
  <c r="N770" i="6"/>
  <c r="O807" i="6"/>
  <c r="L805" i="6"/>
  <c r="O805" i="6" s="1"/>
  <c r="P756" i="6"/>
  <c r="M754" i="6"/>
  <c r="P754" i="6" s="1"/>
  <c r="L789" i="6"/>
  <c r="O789" i="6" s="1"/>
  <c r="O791" i="6"/>
  <c r="P394" i="6"/>
  <c r="M392" i="6"/>
  <c r="P392" i="6" s="1"/>
  <c r="L429" i="6"/>
  <c r="O429" i="6" s="1"/>
  <c r="O431" i="6"/>
  <c r="L421" i="6"/>
  <c r="K435" i="6"/>
  <c r="J433" i="6"/>
  <c r="J417" i="6" s="1"/>
  <c r="L526" i="6"/>
  <c r="O526" i="6" s="1"/>
  <c r="O528" i="6"/>
  <c r="N737" i="6"/>
  <c r="O755" i="6"/>
  <c r="L754" i="6"/>
  <c r="O754" i="6" s="1"/>
  <c r="N807" i="6"/>
  <c r="N805" i="6" s="1"/>
  <c r="N808" i="6"/>
  <c r="L404" i="6"/>
  <c r="O404" i="6" s="1"/>
  <c r="N470" i="6"/>
  <c r="P545" i="6"/>
  <c r="M544" i="6"/>
  <c r="P544" i="6" s="1"/>
  <c r="N544" i="6"/>
  <c r="I543" i="6"/>
  <c r="K543" i="6" s="1"/>
  <c r="K559" i="6"/>
  <c r="P772" i="6"/>
  <c r="M770" i="6"/>
  <c r="P770" i="6" s="1"/>
  <c r="P353" i="6"/>
  <c r="M351" i="6"/>
  <c r="M391" i="6"/>
  <c r="M404" i="6"/>
  <c r="M419" i="6"/>
  <c r="I433" i="6"/>
  <c r="P445" i="6"/>
  <c r="O468" i="6"/>
  <c r="N754" i="6"/>
  <c r="O771" i="6"/>
  <c r="L770" i="6"/>
  <c r="O770" i="6" s="1"/>
  <c r="P468" i="6"/>
  <c r="L470" i="6"/>
  <c r="P503" i="6"/>
  <c r="O656" i="6"/>
  <c r="K674" i="6"/>
  <c r="N631" i="6"/>
  <c r="N629" i="6" s="1"/>
  <c r="K675" i="6"/>
  <c r="M685" i="6"/>
  <c r="P685" i="6" s="1"/>
  <c r="M786" i="6"/>
  <c r="P786" i="6" s="1"/>
  <c r="K593" i="6"/>
  <c r="J364" i="5"/>
  <c r="O44" i="5"/>
  <c r="P264" i="4"/>
  <c r="P44" i="5"/>
  <c r="P71" i="5"/>
  <c r="I87" i="5"/>
  <c r="K87" i="5" s="1"/>
  <c r="L91" i="5"/>
  <c r="N90" i="5"/>
  <c r="M152" i="5"/>
  <c r="P152" i="5" s="1"/>
  <c r="L267" i="5"/>
  <c r="O267" i="5" s="1"/>
  <c r="N263" i="5"/>
  <c r="N261" i="5" s="1"/>
  <c r="O301" i="5"/>
  <c r="L321" i="5"/>
  <c r="O321" i="5" s="1"/>
  <c r="P353" i="5"/>
  <c r="K359" i="5"/>
  <c r="L392" i="5"/>
  <c r="O392" i="5" s="1"/>
  <c r="L631" i="5"/>
  <c r="O631" i="5" s="1"/>
  <c r="L138" i="4"/>
  <c r="O138" i="4" s="1"/>
  <c r="L198" i="4"/>
  <c r="O198" i="4" s="1"/>
  <c r="L155" i="5"/>
  <c r="O155" i="5" s="1"/>
  <c r="K174" i="5"/>
  <c r="L231" i="5"/>
  <c r="L330" i="5"/>
  <c r="L328" i="5" s="1"/>
  <c r="I434" i="5"/>
  <c r="I418" i="5" s="1"/>
  <c r="K418" i="5" s="1"/>
  <c r="O49" i="5"/>
  <c r="P74" i="5"/>
  <c r="I76" i="5"/>
  <c r="I64" i="5" s="1"/>
  <c r="K64" i="5" s="1"/>
  <c r="M183" i="5"/>
  <c r="M181" i="5" s="1"/>
  <c r="L228" i="5"/>
  <c r="K271" i="5"/>
  <c r="L279" i="5"/>
  <c r="L277" i="5" s="1"/>
  <c r="L351" i="5"/>
  <c r="O351" i="5" s="1"/>
  <c r="K374" i="5"/>
  <c r="K381" i="5"/>
  <c r="K440" i="5"/>
  <c r="K537" i="5"/>
  <c r="K675" i="5"/>
  <c r="O56" i="4"/>
  <c r="M94" i="4"/>
  <c r="P94" i="4" s="1"/>
  <c r="K244" i="4"/>
  <c r="I297" i="4"/>
  <c r="K297" i="4" s="1"/>
  <c r="O348" i="4"/>
  <c r="M408" i="4"/>
  <c r="P408" i="4" s="1"/>
  <c r="M55" i="5"/>
  <c r="M53" i="5" s="1"/>
  <c r="M68" i="5"/>
  <c r="M66" i="5" s="1"/>
  <c r="P44" i="3"/>
  <c r="K360" i="4"/>
  <c r="L90" i="5"/>
  <c r="L88" i="5" s="1"/>
  <c r="I276" i="5"/>
  <c r="K276" i="5" s="1"/>
  <c r="O285" i="5"/>
  <c r="N300" i="5"/>
  <c r="N298" i="5" s="1"/>
  <c r="M317" i="5"/>
  <c r="P317" i="5" s="1"/>
  <c r="K340" i="5"/>
  <c r="K369" i="5"/>
  <c r="K372" i="5"/>
  <c r="I442" i="5"/>
  <c r="K442" i="5" s="1"/>
  <c r="L525" i="5"/>
  <c r="O525" i="5" s="1"/>
  <c r="K669" i="5"/>
  <c r="N122" i="5"/>
  <c r="N304" i="5"/>
  <c r="N279" i="2"/>
  <c r="N277" i="2" s="1"/>
  <c r="M121" i="4"/>
  <c r="P121" i="4" s="1"/>
  <c r="I275" i="4"/>
  <c r="K275" i="4" s="1"/>
  <c r="O634" i="4"/>
  <c r="N94" i="5"/>
  <c r="N155" i="5"/>
  <c r="P170" i="5"/>
  <c r="L187" i="5"/>
  <c r="O187" i="5" s="1"/>
  <c r="L249" i="5"/>
  <c r="O249" i="5" s="1"/>
  <c r="M321" i="5"/>
  <c r="P321" i="5" s="1"/>
  <c r="M330" i="5"/>
  <c r="M328" i="5" s="1"/>
  <c r="K379" i="5"/>
  <c r="M404" i="5"/>
  <c r="M408" i="5"/>
  <c r="P408" i="5" s="1"/>
  <c r="O431" i="5"/>
  <c r="L687" i="5"/>
  <c r="O687" i="5" s="1"/>
  <c r="K699" i="5"/>
  <c r="M122" i="4"/>
  <c r="P122" i="4" s="1"/>
  <c r="L408" i="4"/>
  <c r="O408" i="4" s="1"/>
  <c r="I434" i="4"/>
  <c r="K434" i="4" s="1"/>
  <c r="O549" i="4"/>
  <c r="M59" i="5"/>
  <c r="P59" i="5" s="1"/>
  <c r="K80" i="5"/>
  <c r="L125" i="5"/>
  <c r="O125" i="5" s="1"/>
  <c r="K146" i="5"/>
  <c r="L168" i="5"/>
  <c r="M187" i="5"/>
  <c r="P187" i="5" s="1"/>
  <c r="K204" i="5"/>
  <c r="L238" i="5"/>
  <c r="O238" i="5" s="1"/>
  <c r="P269" i="5"/>
  <c r="P301" i="5"/>
  <c r="L318" i="5"/>
  <c r="O318" i="5" s="1"/>
  <c r="L334" i="5"/>
  <c r="O334" i="5" s="1"/>
  <c r="M351" i="5"/>
  <c r="P351" i="5" s="1"/>
  <c r="O353" i="5"/>
  <c r="L395" i="5"/>
  <c r="O395" i="5" s="1"/>
  <c r="O690" i="5"/>
  <c r="L318" i="4"/>
  <c r="O318" i="4" s="1"/>
  <c r="N404" i="4"/>
  <c r="N402" i="4" s="1"/>
  <c r="L43" i="5"/>
  <c r="O46" i="5"/>
  <c r="M26" i="5"/>
  <c r="M24" i="5" s="1"/>
  <c r="O140" i="5"/>
  <c r="L151" i="5"/>
  <c r="O151" i="5" s="1"/>
  <c r="L171" i="5"/>
  <c r="O171" i="5" s="1"/>
  <c r="L209" i="5"/>
  <c r="O209" i="5" s="1"/>
  <c r="O264" i="5"/>
  <c r="K288" i="5"/>
  <c r="L317" i="5"/>
  <c r="P323" i="5"/>
  <c r="K355" i="5"/>
  <c r="K362" i="5"/>
  <c r="K385" i="5"/>
  <c r="I628" i="5"/>
  <c r="K628" i="5" s="1"/>
  <c r="K673" i="5"/>
  <c r="K823" i="5"/>
  <c r="K826" i="5"/>
  <c r="N263" i="4"/>
  <c r="N261" i="4" s="1"/>
  <c r="M43" i="5"/>
  <c r="P46" i="5"/>
  <c r="L68" i="5"/>
  <c r="O71" i="5"/>
  <c r="P154" i="5"/>
  <c r="L183" i="5"/>
  <c r="L181" i="5" s="1"/>
  <c r="P189" i="5"/>
  <c r="P264" i="5"/>
  <c r="K338" i="5"/>
  <c r="M391" i="5"/>
  <c r="P391" i="5" s="1"/>
  <c r="L657" i="5"/>
  <c r="O657" i="5" s="1"/>
  <c r="K674" i="5"/>
  <c r="P61" i="3"/>
  <c r="M55" i="4"/>
  <c r="M53" i="4" s="1"/>
  <c r="L36" i="5"/>
  <c r="L34" i="5" s="1"/>
  <c r="O34" i="5" s="1"/>
  <c r="L23" i="5"/>
  <c r="L21" i="5" s="1"/>
  <c r="L134" i="5"/>
  <c r="O134" i="5" s="1"/>
  <c r="L198" i="5"/>
  <c r="O198" i="5" s="1"/>
  <c r="N317" i="5"/>
  <c r="N315" i="5" s="1"/>
  <c r="M347" i="5"/>
  <c r="M345" i="5" s="1"/>
  <c r="J722" i="5"/>
  <c r="K824" i="5"/>
  <c r="P12" i="5"/>
  <c r="N29" i="5"/>
  <c r="N28" i="5" s="1"/>
  <c r="N31" i="5"/>
  <c r="N184" i="5"/>
  <c r="P186" i="5"/>
  <c r="L59" i="5"/>
  <c r="O59" i="5" s="1"/>
  <c r="L26" i="5"/>
  <c r="O61" i="5"/>
  <c r="O557" i="5"/>
  <c r="L546" i="5"/>
  <c r="L555" i="5"/>
  <c r="O555" i="5" s="1"/>
  <c r="N183" i="3"/>
  <c r="N181" i="3" s="1"/>
  <c r="M59" i="4"/>
  <c r="P59" i="4" s="1"/>
  <c r="P61" i="4"/>
  <c r="N300" i="4"/>
  <c r="N298" i="4" s="1"/>
  <c r="L687" i="4"/>
  <c r="O687" i="4" s="1"/>
  <c r="N26" i="5"/>
  <c r="N16" i="5" s="1"/>
  <c r="M56" i="5"/>
  <c r="P56" i="5" s="1"/>
  <c r="L229" i="5"/>
  <c r="N331" i="5"/>
  <c r="P331" i="5" s="1"/>
  <c r="N330" i="5"/>
  <c r="P350" i="5"/>
  <c r="L56" i="5"/>
  <c r="O56" i="5" s="1"/>
  <c r="O58" i="5"/>
  <c r="K145" i="5"/>
  <c r="I143" i="5"/>
  <c r="J143" i="5"/>
  <c r="J131" i="5" s="1"/>
  <c r="O282" i="5"/>
  <c r="L301" i="4"/>
  <c r="O301" i="4" s="1"/>
  <c r="L392" i="4"/>
  <c r="O392" i="4" s="1"/>
  <c r="L469" i="4"/>
  <c r="O469" i="4" s="1"/>
  <c r="O690" i="4"/>
  <c r="M19" i="5"/>
  <c r="M31" i="5"/>
  <c r="P31" i="5" s="1"/>
  <c r="N183" i="5"/>
  <c r="K193" i="5"/>
  <c r="I190" i="5"/>
  <c r="K190" i="5" s="1"/>
  <c r="I314" i="5"/>
  <c r="K314" i="5" s="1"/>
  <c r="K325" i="5"/>
  <c r="N348" i="5"/>
  <c r="O348" i="5" s="1"/>
  <c r="N347" i="5"/>
  <c r="O350" i="5"/>
  <c r="P420" i="5"/>
  <c r="M419" i="5"/>
  <c r="M545" i="5"/>
  <c r="P555" i="5"/>
  <c r="L391" i="2"/>
  <c r="O391" i="2" s="1"/>
  <c r="N167" i="3"/>
  <c r="N165" i="3" s="1"/>
  <c r="P58" i="4"/>
  <c r="L231" i="4"/>
  <c r="K700" i="2"/>
  <c r="K649" i="3"/>
  <c r="L43" i="4"/>
  <c r="L41" i="4" s="1"/>
  <c r="I77" i="4"/>
  <c r="I65" i="4" s="1"/>
  <c r="K65" i="4" s="1"/>
  <c r="O96" i="4"/>
  <c r="K145" i="4"/>
  <c r="L249" i="4"/>
  <c r="O249" i="4" s="1"/>
  <c r="L330" i="4"/>
  <c r="L328" i="4" s="1"/>
  <c r="K370" i="4"/>
  <c r="K729" i="4"/>
  <c r="I148" i="5"/>
  <c r="K148" i="5" s="1"/>
  <c r="K159" i="5"/>
  <c r="O266" i="5"/>
  <c r="L263" i="5"/>
  <c r="N279" i="5"/>
  <c r="N392" i="5"/>
  <c r="N391" i="5"/>
  <c r="N389" i="5" s="1"/>
  <c r="L454" i="5"/>
  <c r="O454" i="5" s="1"/>
  <c r="O456" i="5"/>
  <c r="N408" i="4"/>
  <c r="P25" i="5"/>
  <c r="M15" i="5"/>
  <c r="M9" i="5" s="1"/>
  <c r="N23" i="5"/>
  <c r="N134" i="5"/>
  <c r="N132" i="5" s="1"/>
  <c r="P303" i="5"/>
  <c r="M300" i="5"/>
  <c r="K539" i="5"/>
  <c r="J537" i="5"/>
  <c r="J522" i="5" s="1"/>
  <c r="N135" i="4"/>
  <c r="N15" i="5"/>
  <c r="O54" i="5"/>
  <c r="I112" i="5"/>
  <c r="K112" i="5" s="1"/>
  <c r="O124" i="5"/>
  <c r="L121" i="5"/>
  <c r="O121" i="5" s="1"/>
  <c r="O186" i="5"/>
  <c r="L405" i="5"/>
  <c r="O405" i="5" s="1"/>
  <c r="O407" i="5"/>
  <c r="L404" i="5"/>
  <c r="O404" i="5" s="1"/>
  <c r="O634" i="5"/>
  <c r="L632" i="5"/>
  <c r="O632" i="5" s="1"/>
  <c r="L33" i="5"/>
  <c r="O686" i="5"/>
  <c r="P807" i="5"/>
  <c r="M805" i="5"/>
  <c r="P805" i="5" s="1"/>
  <c r="P46" i="2"/>
  <c r="P56" i="4"/>
  <c r="M68" i="4"/>
  <c r="P68" i="4" s="1"/>
  <c r="K701" i="4"/>
  <c r="K723" i="4"/>
  <c r="N12" i="5"/>
  <c r="P32" i="5"/>
  <c r="M29" i="5"/>
  <c r="L55" i="5"/>
  <c r="M94" i="5"/>
  <c r="P94" i="5" s="1"/>
  <c r="P96" i="5"/>
  <c r="M90" i="5"/>
  <c r="P127" i="5"/>
  <c r="M121" i="5"/>
  <c r="M135" i="5"/>
  <c r="P135" i="5" s="1"/>
  <c r="P137" i="5"/>
  <c r="M171" i="5"/>
  <c r="P171" i="5" s="1"/>
  <c r="P173" i="5"/>
  <c r="M167" i="5"/>
  <c r="P182" i="5"/>
  <c r="I233" i="5"/>
  <c r="K233" i="5" s="1"/>
  <c r="K244" i="5"/>
  <c r="I237" i="5"/>
  <c r="P266" i="5"/>
  <c r="M263" i="5"/>
  <c r="O278" i="5"/>
  <c r="O303" i="5"/>
  <c r="L300" i="5"/>
  <c r="K365" i="5"/>
  <c r="I364" i="5"/>
  <c r="P390" i="5"/>
  <c r="M444" i="5"/>
  <c r="P444" i="5" s="1"/>
  <c r="P445" i="5"/>
  <c r="O479" i="5"/>
  <c r="L469" i="5"/>
  <c r="L15" i="5"/>
  <c r="M23" i="5"/>
  <c r="L29" i="5"/>
  <c r="M30" i="5"/>
  <c r="P30" i="5" s="1"/>
  <c r="N91" i="5"/>
  <c r="P91" i="5" s="1"/>
  <c r="O137" i="5"/>
  <c r="N168" i="5"/>
  <c r="P168" i="5" s="1"/>
  <c r="L391" i="5"/>
  <c r="L446" i="5"/>
  <c r="O503" i="5"/>
  <c r="M523" i="5"/>
  <c r="P523" i="5" s="1"/>
  <c r="M47" i="5"/>
  <c r="P47" i="5" s="1"/>
  <c r="L280" i="5"/>
  <c r="O280" i="5" s="1"/>
  <c r="M283" i="5"/>
  <c r="P283" i="5" s="1"/>
  <c r="O333" i="5"/>
  <c r="O470" i="5"/>
  <c r="O472" i="5"/>
  <c r="N469" i="5"/>
  <c r="N467" i="5" s="1"/>
  <c r="N414" i="5" s="1"/>
  <c r="N470" i="5"/>
  <c r="N544" i="5"/>
  <c r="I77" i="5"/>
  <c r="I248" i="5"/>
  <c r="K248" i="5" s="1"/>
  <c r="P282" i="5"/>
  <c r="L331" i="5"/>
  <c r="P333" i="5"/>
  <c r="N526" i="5"/>
  <c r="K561" i="5"/>
  <c r="K576" i="5"/>
  <c r="I559" i="5"/>
  <c r="P738" i="5"/>
  <c r="M737" i="5"/>
  <c r="P737" i="5" s="1"/>
  <c r="O410" i="5"/>
  <c r="O524" i="5"/>
  <c r="L526" i="5"/>
  <c r="O526" i="5" s="1"/>
  <c r="O528" i="5"/>
  <c r="J592" i="5"/>
  <c r="K592" i="5" s="1"/>
  <c r="O688" i="5"/>
  <c r="L754" i="5"/>
  <c r="O754" i="5" s="1"/>
  <c r="P771" i="5"/>
  <c r="M770" i="5"/>
  <c r="P770" i="5" s="1"/>
  <c r="L789" i="5"/>
  <c r="O789" i="5" s="1"/>
  <c r="O791" i="5"/>
  <c r="I785" i="5"/>
  <c r="K785" i="5" s="1"/>
  <c r="K800" i="5"/>
  <c r="K821" i="5"/>
  <c r="K827" i="5"/>
  <c r="P788" i="5"/>
  <c r="M786" i="5"/>
  <c r="P786" i="5" s="1"/>
  <c r="O806" i="5"/>
  <c r="L805" i="5"/>
  <c r="O805" i="5" s="1"/>
  <c r="P687" i="5"/>
  <c r="M685" i="5"/>
  <c r="P685" i="5" s="1"/>
  <c r="P755" i="5"/>
  <c r="M754" i="5"/>
  <c r="P754" i="5" s="1"/>
  <c r="K435" i="5"/>
  <c r="J433" i="5"/>
  <c r="J417" i="5" s="1"/>
  <c r="K417" i="5" s="1"/>
  <c r="O641" i="5"/>
  <c r="O787" i="5"/>
  <c r="L786" i="5"/>
  <c r="O786" i="5" s="1"/>
  <c r="N789" i="5"/>
  <c r="I654" i="5"/>
  <c r="K654" i="5" s="1"/>
  <c r="L658" i="5"/>
  <c r="O658" i="5" s="1"/>
  <c r="P173" i="4"/>
  <c r="M171" i="4"/>
  <c r="P171" i="4" s="1"/>
  <c r="M23" i="4"/>
  <c r="K100" i="4"/>
  <c r="P168" i="4"/>
  <c r="P170" i="4"/>
  <c r="K338" i="4"/>
  <c r="K440" i="4"/>
  <c r="O479" i="4"/>
  <c r="N68" i="4"/>
  <c r="N66" i="4" s="1"/>
  <c r="N72" i="4"/>
  <c r="I148" i="4"/>
  <c r="K148" i="4" s="1"/>
  <c r="K159" i="4"/>
  <c r="P394" i="3"/>
  <c r="M392" i="3"/>
  <c r="P392" i="3" s="1"/>
  <c r="M279" i="4"/>
  <c r="M277" i="4" s="1"/>
  <c r="M280" i="4"/>
  <c r="P280" i="4" s="1"/>
  <c r="N134" i="3"/>
  <c r="N132" i="3" s="1"/>
  <c r="M301" i="4"/>
  <c r="P301" i="4" s="1"/>
  <c r="O49" i="4"/>
  <c r="L47" i="4"/>
  <c r="O47" i="4" s="1"/>
  <c r="O306" i="4"/>
  <c r="L304" i="4"/>
  <c r="O304" i="4" s="1"/>
  <c r="M122" i="3"/>
  <c r="P122" i="3" s="1"/>
  <c r="P124" i="3"/>
  <c r="I522" i="3"/>
  <c r="K522" i="3" s="1"/>
  <c r="K537" i="3"/>
  <c r="K224" i="4"/>
  <c r="I216" i="4"/>
  <c r="K216" i="4" s="1"/>
  <c r="L279" i="4"/>
  <c r="L277" i="4" s="1"/>
  <c r="P285" i="4"/>
  <c r="M283" i="4"/>
  <c r="P283" i="4" s="1"/>
  <c r="N301" i="4"/>
  <c r="K378" i="4"/>
  <c r="K381" i="4"/>
  <c r="M26" i="4"/>
  <c r="M16" i="4" s="1"/>
  <c r="L228" i="4"/>
  <c r="M347" i="4"/>
  <c r="M345" i="4" s="1"/>
  <c r="L33" i="4"/>
  <c r="L31" i="4" s="1"/>
  <c r="O31" i="4" s="1"/>
  <c r="N122" i="3"/>
  <c r="L55" i="4"/>
  <c r="L53" i="4" s="1"/>
  <c r="M321" i="4"/>
  <c r="P321" i="4" s="1"/>
  <c r="M72" i="3"/>
  <c r="P72" i="3" s="1"/>
  <c r="K355" i="3"/>
  <c r="M408" i="3"/>
  <c r="P408" i="3" s="1"/>
  <c r="J143" i="4"/>
  <c r="J131" i="4" s="1"/>
  <c r="L36" i="4"/>
  <c r="O36" i="4" s="1"/>
  <c r="K700" i="4"/>
  <c r="K823" i="4"/>
  <c r="K826" i="4"/>
  <c r="L347" i="3"/>
  <c r="L345" i="3" s="1"/>
  <c r="O46" i="4"/>
  <c r="M167" i="4"/>
  <c r="M165" i="4" s="1"/>
  <c r="O336" i="4"/>
  <c r="J364" i="4"/>
  <c r="K385" i="4"/>
  <c r="K649" i="4"/>
  <c r="L90" i="2"/>
  <c r="L88" i="2" s="1"/>
  <c r="O44" i="4"/>
  <c r="L91" i="4"/>
  <c r="O91" i="4" s="1"/>
  <c r="O93" i="4"/>
  <c r="L90" i="4"/>
  <c r="N122" i="4"/>
  <c r="N121" i="4"/>
  <c r="N119" i="4" s="1"/>
  <c r="M151" i="4"/>
  <c r="P151" i="4" s="1"/>
  <c r="P154" i="4"/>
  <c r="N184" i="4"/>
  <c r="O184" i="4" s="1"/>
  <c r="O186" i="4"/>
  <c r="K276" i="4"/>
  <c r="K287" i="4"/>
  <c r="N318" i="4"/>
  <c r="K372" i="4"/>
  <c r="N300" i="3"/>
  <c r="N298" i="3" s="1"/>
  <c r="K338" i="3"/>
  <c r="J722" i="3"/>
  <c r="K722" i="3" s="1"/>
  <c r="N55" i="4"/>
  <c r="L68" i="4"/>
  <c r="K79" i="4"/>
  <c r="L152" i="4"/>
  <c r="O152" i="4" s="1"/>
  <c r="L187" i="4"/>
  <c r="O187" i="4" s="1"/>
  <c r="M187" i="4"/>
  <c r="P187" i="4" s="1"/>
  <c r="P189" i="4"/>
  <c r="O333" i="4"/>
  <c r="L331" i="4"/>
  <c r="O331" i="4" s="1"/>
  <c r="K365" i="4"/>
  <c r="L391" i="4"/>
  <c r="O391" i="4" s="1"/>
  <c r="O397" i="4"/>
  <c r="L395" i="4"/>
  <c r="O395" i="4" s="1"/>
  <c r="J537" i="4"/>
  <c r="J522" i="4" s="1"/>
  <c r="K672" i="4"/>
  <c r="K673" i="4"/>
  <c r="I654" i="4"/>
  <c r="K654" i="4" s="1"/>
  <c r="K460" i="4"/>
  <c r="I442" i="4"/>
  <c r="K442" i="4" s="1"/>
  <c r="M43" i="4"/>
  <c r="M41" i="4" s="1"/>
  <c r="K98" i="4"/>
  <c r="M125" i="4"/>
  <c r="P125" i="4" s="1"/>
  <c r="L134" i="4"/>
  <c r="O137" i="4"/>
  <c r="M152" i="4"/>
  <c r="P152" i="4" s="1"/>
  <c r="M155" i="4"/>
  <c r="P155" i="4" s="1"/>
  <c r="L168" i="4"/>
  <c r="O168" i="4" s="1"/>
  <c r="O170" i="4"/>
  <c r="O660" i="4"/>
  <c r="L657" i="4"/>
  <c r="O657" i="4" s="1"/>
  <c r="L151" i="4"/>
  <c r="L149" i="4" s="1"/>
  <c r="O149" i="4" s="1"/>
  <c r="I143" i="3"/>
  <c r="K143" i="3" s="1"/>
  <c r="L229" i="3"/>
  <c r="I248" i="3"/>
  <c r="K248" i="3" s="1"/>
  <c r="M347" i="3"/>
  <c r="M345" i="3" s="1"/>
  <c r="M391" i="3"/>
  <c r="P391" i="3" s="1"/>
  <c r="K723" i="3"/>
  <c r="J721" i="3"/>
  <c r="K721" i="3" s="1"/>
  <c r="N43" i="4"/>
  <c r="N90" i="4"/>
  <c r="N88" i="4" s="1"/>
  <c r="M134" i="4"/>
  <c r="M132" i="4" s="1"/>
  <c r="P132" i="4" s="1"/>
  <c r="K143" i="4"/>
  <c r="K146" i="4"/>
  <c r="N167" i="4"/>
  <c r="N165" i="4" s="1"/>
  <c r="L183" i="4"/>
  <c r="I260" i="4"/>
  <c r="K260" i="4" s="1"/>
  <c r="J327" i="4"/>
  <c r="K327" i="4" s="1"/>
  <c r="K822" i="4"/>
  <c r="K825" i="4"/>
  <c r="K828" i="4"/>
  <c r="O46" i="3"/>
  <c r="J143" i="3"/>
  <c r="J131" i="3" s="1"/>
  <c r="I216" i="3"/>
  <c r="K216" i="3" s="1"/>
  <c r="L217" i="4"/>
  <c r="O217" i="4" s="1"/>
  <c r="L230" i="4"/>
  <c r="P282" i="4"/>
  <c r="N279" i="4"/>
  <c r="N277" i="4" s="1"/>
  <c r="P306" i="4"/>
  <c r="M304" i="4"/>
  <c r="P304" i="4" s="1"/>
  <c r="L347" i="4"/>
  <c r="L345" i="4" s="1"/>
  <c r="K369" i="4"/>
  <c r="K651" i="4"/>
  <c r="I628" i="4"/>
  <c r="K628" i="4" s="1"/>
  <c r="K725" i="4"/>
  <c r="M90" i="4"/>
  <c r="M88" i="4" s="1"/>
  <c r="L209" i="4"/>
  <c r="O209" i="4" s="1"/>
  <c r="J722" i="4"/>
  <c r="K722" i="4" s="1"/>
  <c r="K647" i="4"/>
  <c r="K374" i="4"/>
  <c r="L525" i="4"/>
  <c r="O525" i="4" s="1"/>
  <c r="J721" i="4"/>
  <c r="K721" i="4" s="1"/>
  <c r="K821" i="4"/>
  <c r="K824" i="4"/>
  <c r="K827" i="4"/>
  <c r="P19" i="4"/>
  <c r="L230" i="2"/>
  <c r="K338" i="2"/>
  <c r="N43" i="3"/>
  <c r="N41" i="3" s="1"/>
  <c r="L72" i="3"/>
  <c r="O72" i="3" s="1"/>
  <c r="K372" i="3"/>
  <c r="L26" i="4"/>
  <c r="P32" i="4"/>
  <c r="M29" i="4"/>
  <c r="M31" i="4"/>
  <c r="P31" i="4" s="1"/>
  <c r="N23" i="4"/>
  <c r="O58" i="4"/>
  <c r="L23" i="4"/>
  <c r="L21" i="4" s="1"/>
  <c r="I76" i="4"/>
  <c r="P120" i="4"/>
  <c r="L171" i="4"/>
  <c r="O171" i="4" s="1"/>
  <c r="L167" i="4"/>
  <c r="O173" i="4"/>
  <c r="K176" i="4"/>
  <c r="K204" i="4"/>
  <c r="I197" i="4"/>
  <c r="K197" i="4" s="1"/>
  <c r="I233" i="4"/>
  <c r="K233" i="4" s="1"/>
  <c r="M267" i="2"/>
  <c r="P267" i="2" s="1"/>
  <c r="K360" i="2"/>
  <c r="L318" i="3"/>
  <c r="O318" i="3" s="1"/>
  <c r="L29" i="4"/>
  <c r="M184" i="4"/>
  <c r="P186" i="4"/>
  <c r="K255" i="4"/>
  <c r="I248" i="4"/>
  <c r="O266" i="4"/>
  <c r="L263" i="4"/>
  <c r="P419" i="4"/>
  <c r="I148" i="3"/>
  <c r="K148" i="3" s="1"/>
  <c r="I197" i="3"/>
  <c r="K197" i="3" s="1"/>
  <c r="I275" i="3"/>
  <c r="K360" i="3"/>
  <c r="K370" i="3"/>
  <c r="K381" i="3"/>
  <c r="K701" i="3"/>
  <c r="N26" i="4"/>
  <c r="P54" i="4"/>
  <c r="O157" i="4"/>
  <c r="L155" i="4"/>
  <c r="O155" i="4" s="1"/>
  <c r="I190" i="4"/>
  <c r="K190" i="4" s="1"/>
  <c r="L264" i="4"/>
  <c r="O264" i="4" s="1"/>
  <c r="P266" i="4"/>
  <c r="M263" i="4"/>
  <c r="O333" i="2"/>
  <c r="P25" i="4"/>
  <c r="M15" i="4"/>
  <c r="M47" i="4"/>
  <c r="P47" i="4" s="1"/>
  <c r="P49" i="4"/>
  <c r="M72" i="4"/>
  <c r="P72" i="4" s="1"/>
  <c r="P74" i="4"/>
  <c r="N152" i="4"/>
  <c r="N151" i="4"/>
  <c r="N149" i="4" s="1"/>
  <c r="O278" i="4"/>
  <c r="L446" i="1"/>
  <c r="L444" i="1" s="1"/>
  <c r="I364" i="2"/>
  <c r="L135" i="3"/>
  <c r="O135" i="3" s="1"/>
  <c r="L230" i="3"/>
  <c r="L279" i="3"/>
  <c r="L277" i="3" s="1"/>
  <c r="P12" i="4"/>
  <c r="L59" i="4"/>
  <c r="O59" i="4" s="1"/>
  <c r="O124" i="4"/>
  <c r="L121" i="4"/>
  <c r="M183" i="4"/>
  <c r="K379" i="3"/>
  <c r="K577" i="3"/>
  <c r="L9" i="4"/>
  <c r="L19" i="4"/>
  <c r="N19" i="4"/>
  <c r="N12" i="4"/>
  <c r="M44" i="4"/>
  <c r="P44" i="4" s="1"/>
  <c r="P46" i="4"/>
  <c r="M69" i="4"/>
  <c r="P69" i="4" s="1"/>
  <c r="P71" i="4"/>
  <c r="M91" i="4"/>
  <c r="P91" i="4" s="1"/>
  <c r="P93" i="4"/>
  <c r="K99" i="4"/>
  <c r="M135" i="4"/>
  <c r="P135" i="4" s="1"/>
  <c r="P137" i="4"/>
  <c r="P166" i="4"/>
  <c r="K174" i="4"/>
  <c r="I164" i="4"/>
  <c r="K164" i="4" s="1"/>
  <c r="O182" i="4"/>
  <c r="L238" i="4"/>
  <c r="M317" i="4"/>
  <c r="O350" i="4"/>
  <c r="I364" i="4"/>
  <c r="O424" i="4"/>
  <c r="K435" i="4"/>
  <c r="I433" i="4"/>
  <c r="I443" i="4"/>
  <c r="K443" i="4" s="1"/>
  <c r="L454" i="4"/>
  <c r="O454" i="4" s="1"/>
  <c r="O456" i="4"/>
  <c r="L446" i="4"/>
  <c r="O446" i="4" s="1"/>
  <c r="I112" i="4"/>
  <c r="K112" i="4" s="1"/>
  <c r="M138" i="4"/>
  <c r="P138" i="4" s="1"/>
  <c r="P140" i="4"/>
  <c r="L300" i="4"/>
  <c r="O300" i="4" s="1"/>
  <c r="P320" i="4"/>
  <c r="O353" i="4"/>
  <c r="N351" i="4"/>
  <c r="O351" i="4" s="1"/>
  <c r="L404" i="4"/>
  <c r="O404" i="4" s="1"/>
  <c r="O407" i="4"/>
  <c r="P420" i="4"/>
  <c r="K115" i="4"/>
  <c r="L125" i="4"/>
  <c r="O125" i="4" s="1"/>
  <c r="I208" i="4"/>
  <c r="K208" i="4" s="1"/>
  <c r="O262" i="4"/>
  <c r="L283" i="4"/>
  <c r="O283" i="4" s="1"/>
  <c r="O285" i="4"/>
  <c r="K288" i="4"/>
  <c r="M300" i="4"/>
  <c r="O323" i="4"/>
  <c r="L317" i="4"/>
  <c r="O317" i="4" s="1"/>
  <c r="N330" i="4"/>
  <c r="P336" i="4"/>
  <c r="M334" i="4"/>
  <c r="P334" i="4" s="1"/>
  <c r="K340" i="4"/>
  <c r="N391" i="4"/>
  <c r="N389" i="4" s="1"/>
  <c r="L405" i="4"/>
  <c r="O405" i="4" s="1"/>
  <c r="P407" i="4"/>
  <c r="M404" i="4"/>
  <c r="M444" i="4"/>
  <c r="P444" i="4" s="1"/>
  <c r="O299" i="4"/>
  <c r="O346" i="4"/>
  <c r="N347" i="4"/>
  <c r="N345" i="4" s="1"/>
  <c r="P394" i="4"/>
  <c r="M392" i="4"/>
  <c r="P392" i="4" s="1"/>
  <c r="M391" i="4"/>
  <c r="O403" i="4"/>
  <c r="J433" i="4"/>
  <c r="J417" i="4" s="1"/>
  <c r="O445" i="4"/>
  <c r="P333" i="4"/>
  <c r="M331" i="4"/>
  <c r="P331" i="4" s="1"/>
  <c r="M330" i="4"/>
  <c r="P278" i="4"/>
  <c r="L280" i="4"/>
  <c r="O280" i="4" s="1"/>
  <c r="O282" i="4"/>
  <c r="P353" i="4"/>
  <c r="M351" i="4"/>
  <c r="L429" i="4"/>
  <c r="O429" i="4" s="1"/>
  <c r="O431" i="4"/>
  <c r="L421" i="4"/>
  <c r="K576" i="4"/>
  <c r="O755" i="4"/>
  <c r="L754" i="4"/>
  <c r="O754" i="4" s="1"/>
  <c r="P772" i="4"/>
  <c r="M770" i="4"/>
  <c r="P770" i="4" s="1"/>
  <c r="L789" i="4"/>
  <c r="O789" i="4" s="1"/>
  <c r="O791" i="4"/>
  <c r="O807" i="4"/>
  <c r="L805" i="4"/>
  <c r="O805" i="4" s="1"/>
  <c r="P350" i="4"/>
  <c r="M348" i="4"/>
  <c r="P348" i="4" s="1"/>
  <c r="K379" i="4"/>
  <c r="P397" i="4"/>
  <c r="M395" i="4"/>
  <c r="P395" i="4" s="1"/>
  <c r="N419" i="4"/>
  <c r="N414" i="4" s="1"/>
  <c r="L639" i="4"/>
  <c r="O639" i="4" s="1"/>
  <c r="O641" i="4"/>
  <c r="L631" i="4"/>
  <c r="O771" i="4"/>
  <c r="L770" i="4"/>
  <c r="O770" i="4" s="1"/>
  <c r="I543" i="4"/>
  <c r="K543" i="4" s="1"/>
  <c r="K559" i="4"/>
  <c r="P739" i="4"/>
  <c r="M737" i="4"/>
  <c r="P737" i="4" s="1"/>
  <c r="N807" i="4"/>
  <c r="N805" i="4" s="1"/>
  <c r="N808" i="4"/>
  <c r="L526" i="4"/>
  <c r="O526" i="4" s="1"/>
  <c r="O528" i="4"/>
  <c r="O738" i="4"/>
  <c r="L737" i="4"/>
  <c r="O737" i="4" s="1"/>
  <c r="O472" i="4"/>
  <c r="L470" i="4"/>
  <c r="O470" i="4" s="1"/>
  <c r="P545" i="4"/>
  <c r="M544" i="4"/>
  <c r="P544" i="4" s="1"/>
  <c r="K592" i="4"/>
  <c r="P756" i="4"/>
  <c r="M754" i="4"/>
  <c r="P754" i="4" s="1"/>
  <c r="L788" i="4"/>
  <c r="P468" i="4"/>
  <c r="P503" i="4"/>
  <c r="O656" i="4"/>
  <c r="K674" i="4"/>
  <c r="L555" i="4"/>
  <c r="O555" i="4" s="1"/>
  <c r="K675" i="4"/>
  <c r="K537" i="4"/>
  <c r="L546" i="4"/>
  <c r="K593" i="4"/>
  <c r="M152" i="3"/>
  <c r="P152" i="3" s="1"/>
  <c r="M317" i="3"/>
  <c r="M315" i="3" s="1"/>
  <c r="P315" i="3" s="1"/>
  <c r="P320" i="3"/>
  <c r="K462" i="3"/>
  <c r="O641" i="3"/>
  <c r="L631" i="3"/>
  <c r="L629" i="3" s="1"/>
  <c r="O629" i="3" s="1"/>
  <c r="N47" i="3"/>
  <c r="M279" i="3"/>
  <c r="M277" i="3" s="1"/>
  <c r="M280" i="3"/>
  <c r="P280" i="3" s="1"/>
  <c r="L321" i="3"/>
  <c r="O321" i="3" s="1"/>
  <c r="O323" i="3"/>
  <c r="L317" i="3"/>
  <c r="L454" i="1"/>
  <c r="O454" i="1" s="1"/>
  <c r="K649" i="2"/>
  <c r="L228" i="3"/>
  <c r="L249" i="3"/>
  <c r="O249" i="3" s="1"/>
  <c r="L454" i="3"/>
  <c r="O454" i="3" s="1"/>
  <c r="O456" i="3"/>
  <c r="N91" i="2"/>
  <c r="N90" i="2"/>
  <c r="N88" i="2" s="1"/>
  <c r="N68" i="3"/>
  <c r="N66" i="3" s="1"/>
  <c r="N72" i="3"/>
  <c r="O336" i="3"/>
  <c r="L334" i="3"/>
  <c r="O334" i="3" s="1"/>
  <c r="O285" i="3"/>
  <c r="L283" i="3"/>
  <c r="O283" i="3" s="1"/>
  <c r="L330" i="3"/>
  <c r="L328" i="3" s="1"/>
  <c r="L422" i="3"/>
  <c r="O422" i="3" s="1"/>
  <c r="L421" i="3"/>
  <c r="L419" i="3" s="1"/>
  <c r="O419" i="3" s="1"/>
  <c r="O424" i="3"/>
  <c r="K821" i="3"/>
  <c r="K824" i="3"/>
  <c r="K827" i="3"/>
  <c r="K593" i="3"/>
  <c r="O264" i="3"/>
  <c r="K114" i="1"/>
  <c r="O44" i="3"/>
  <c r="O71" i="3"/>
  <c r="K144" i="3"/>
  <c r="P264" i="3"/>
  <c r="L547" i="3"/>
  <c r="O547" i="3" s="1"/>
  <c r="K725" i="3"/>
  <c r="I785" i="3"/>
  <c r="K785" i="3" s="1"/>
  <c r="P46" i="3"/>
  <c r="P71" i="3"/>
  <c r="L90" i="3"/>
  <c r="L88" i="3" s="1"/>
  <c r="L263" i="3"/>
  <c r="L261" i="3" s="1"/>
  <c r="M283" i="3"/>
  <c r="P283" i="3" s="1"/>
  <c r="J327" i="3"/>
  <c r="K327" i="3" s="1"/>
  <c r="K378" i="3"/>
  <c r="N391" i="3"/>
  <c r="N389" i="3" s="1"/>
  <c r="N404" i="3"/>
  <c r="N402" i="3" s="1"/>
  <c r="I434" i="3"/>
  <c r="K434" i="3" s="1"/>
  <c r="K823" i="3"/>
  <c r="K826" i="3"/>
  <c r="P266" i="2"/>
  <c r="L267" i="3"/>
  <c r="O267" i="3" s="1"/>
  <c r="K309" i="3"/>
  <c r="L469" i="3"/>
  <c r="L467" i="3" s="1"/>
  <c r="K651" i="3"/>
  <c r="K288" i="3"/>
  <c r="J275" i="3"/>
  <c r="L392" i="3"/>
  <c r="O392" i="3" s="1"/>
  <c r="L391" i="3"/>
  <c r="K675" i="3"/>
  <c r="N317" i="2"/>
  <c r="N315" i="2" s="1"/>
  <c r="M68" i="3"/>
  <c r="M66" i="3" s="1"/>
  <c r="N135" i="3"/>
  <c r="L138" i="3"/>
  <c r="O138" i="3" s="1"/>
  <c r="M155" i="3"/>
  <c r="P155" i="3" s="1"/>
  <c r="N184" i="3"/>
  <c r="P184" i="3" s="1"/>
  <c r="O186" i="3"/>
  <c r="I233" i="3"/>
  <c r="K233" i="3" s="1"/>
  <c r="I237" i="3"/>
  <c r="K237" i="3" s="1"/>
  <c r="N279" i="3"/>
  <c r="N301" i="3"/>
  <c r="O301" i="3" s="1"/>
  <c r="M304" i="3"/>
  <c r="P304" i="3" s="1"/>
  <c r="M330" i="3"/>
  <c r="M328" i="3" s="1"/>
  <c r="N347" i="3"/>
  <c r="L91" i="2"/>
  <c r="I174" i="3"/>
  <c r="L198" i="3"/>
  <c r="O198" i="3" s="1"/>
  <c r="K460" i="3"/>
  <c r="I442" i="3"/>
  <c r="K442" i="3" s="1"/>
  <c r="L55" i="2"/>
  <c r="L53" i="2" s="1"/>
  <c r="K355" i="2"/>
  <c r="L36" i="3"/>
  <c r="O36" i="3" s="1"/>
  <c r="I76" i="3"/>
  <c r="K76" i="3" s="1"/>
  <c r="L94" i="3"/>
  <c r="O94" i="3" s="1"/>
  <c r="M138" i="3"/>
  <c r="P138" i="3" s="1"/>
  <c r="N168" i="3"/>
  <c r="O168" i="3" s="1"/>
  <c r="L187" i="3"/>
  <c r="O187" i="3" s="1"/>
  <c r="L231" i="3"/>
  <c r="L280" i="3"/>
  <c r="O280" i="3" s="1"/>
  <c r="I314" i="3"/>
  <c r="K314" i="3" s="1"/>
  <c r="N317" i="3"/>
  <c r="N315" i="3" s="1"/>
  <c r="L331" i="3"/>
  <c r="K369" i="3"/>
  <c r="P397" i="3"/>
  <c r="M395" i="3"/>
  <c r="P395" i="3" s="1"/>
  <c r="L405" i="3"/>
  <c r="O405" i="3" s="1"/>
  <c r="L404" i="3"/>
  <c r="O404" i="3" s="1"/>
  <c r="L470" i="3"/>
  <c r="O470" i="3" s="1"/>
  <c r="O472" i="3"/>
  <c r="L533" i="3"/>
  <c r="O533" i="3" s="1"/>
  <c r="O791" i="3"/>
  <c r="L788" i="3"/>
  <c r="O788" i="3" s="1"/>
  <c r="M171" i="3"/>
  <c r="P171" i="3" s="1"/>
  <c r="P407" i="3"/>
  <c r="M405" i="3"/>
  <c r="P405" i="3" s="1"/>
  <c r="N121" i="2"/>
  <c r="N119" i="2" s="1"/>
  <c r="I130" i="2"/>
  <c r="K130" i="2" s="1"/>
  <c r="L229" i="2"/>
  <c r="I260" i="2"/>
  <c r="K260" i="2" s="1"/>
  <c r="M391" i="2"/>
  <c r="P391" i="2" s="1"/>
  <c r="L55" i="3"/>
  <c r="L53" i="3" s="1"/>
  <c r="M69" i="3"/>
  <c r="P69" i="3" s="1"/>
  <c r="L134" i="3"/>
  <c r="O134" i="3" s="1"/>
  <c r="O266" i="3"/>
  <c r="O282" i="3"/>
  <c r="O303" i="3"/>
  <c r="P323" i="3"/>
  <c r="J364" i="3"/>
  <c r="O397" i="3"/>
  <c r="I433" i="3"/>
  <c r="I417" i="3" s="1"/>
  <c r="J537" i="3"/>
  <c r="J522" i="3" s="1"/>
  <c r="J675" i="1"/>
  <c r="K675" i="1" s="1"/>
  <c r="O96" i="2"/>
  <c r="O154" i="2"/>
  <c r="N330" i="2"/>
  <c r="N328" i="2" s="1"/>
  <c r="K362" i="2"/>
  <c r="J433" i="2"/>
  <c r="J417" i="2" s="1"/>
  <c r="L33" i="3"/>
  <c r="L31" i="3" s="1"/>
  <c r="L47" i="3"/>
  <c r="O47" i="3" s="1"/>
  <c r="M59" i="3"/>
  <c r="M134" i="3"/>
  <c r="P134" i="3" s="1"/>
  <c r="M151" i="3"/>
  <c r="M149" i="3" s="1"/>
  <c r="P149" i="3" s="1"/>
  <c r="P186" i="3"/>
  <c r="L209" i="3"/>
  <c r="O209" i="3" s="1"/>
  <c r="P266" i="3"/>
  <c r="P282" i="3"/>
  <c r="K340" i="3"/>
  <c r="K359" i="3"/>
  <c r="K362" i="3"/>
  <c r="L447" i="3"/>
  <c r="O447" i="3" s="1"/>
  <c r="L446" i="3"/>
  <c r="L444" i="3" s="1"/>
  <c r="O444" i="3" s="1"/>
  <c r="K385" i="3"/>
  <c r="P333" i="3"/>
  <c r="K374" i="3"/>
  <c r="K647" i="3"/>
  <c r="K822" i="3"/>
  <c r="K825" i="3"/>
  <c r="K828" i="3"/>
  <c r="P58" i="2"/>
  <c r="I112" i="2"/>
  <c r="K112" i="2" s="1"/>
  <c r="M167" i="2"/>
  <c r="O350" i="2"/>
  <c r="K379" i="2"/>
  <c r="L23" i="3"/>
  <c r="L43" i="3"/>
  <c r="M47" i="3"/>
  <c r="P47" i="3" s="1"/>
  <c r="O56" i="3"/>
  <c r="L26" i="3"/>
  <c r="O173" i="3"/>
  <c r="L167" i="3"/>
  <c r="O182" i="3"/>
  <c r="P278" i="3"/>
  <c r="K673" i="1"/>
  <c r="L447" i="2"/>
  <c r="O447" i="2" s="1"/>
  <c r="L121" i="2"/>
  <c r="O121" i="2" s="1"/>
  <c r="O282" i="2"/>
  <c r="L300" i="2"/>
  <c r="L298" i="2" s="1"/>
  <c r="O298" i="2" s="1"/>
  <c r="O35" i="3"/>
  <c r="M55" i="3"/>
  <c r="M56" i="3"/>
  <c r="P56" i="3" s="1"/>
  <c r="N151" i="3"/>
  <c r="N149" i="3" s="1"/>
  <c r="N152" i="3"/>
  <c r="P189" i="3"/>
  <c r="M183" i="3"/>
  <c r="M187" i="3"/>
  <c r="P187" i="3" s="1"/>
  <c r="M121" i="3"/>
  <c r="M125" i="3"/>
  <c r="P125" i="3" s="1"/>
  <c r="L122" i="2"/>
  <c r="O122" i="2" s="1"/>
  <c r="L125" i="2"/>
  <c r="O125" i="2" s="1"/>
  <c r="L135" i="2"/>
  <c r="O135" i="2" s="1"/>
  <c r="L138" i="2"/>
  <c r="O138" i="2" s="1"/>
  <c r="N280" i="2"/>
  <c r="O280" i="2" s="1"/>
  <c r="P282" i="2"/>
  <c r="L301" i="2"/>
  <c r="O301" i="2" s="1"/>
  <c r="L395" i="2"/>
  <c r="O395" i="2" s="1"/>
  <c r="K725" i="2"/>
  <c r="O19" i="3"/>
  <c r="M15" i="3"/>
  <c r="L29" i="3"/>
  <c r="N90" i="3"/>
  <c r="N88" i="3" s="1"/>
  <c r="P93" i="3"/>
  <c r="N23" i="3"/>
  <c r="I112" i="3"/>
  <c r="K112" i="3" s="1"/>
  <c r="K116" i="3"/>
  <c r="L122" i="3"/>
  <c r="O122" i="3" s="1"/>
  <c r="L121" i="3"/>
  <c r="O121" i="3" s="1"/>
  <c r="M26" i="3"/>
  <c r="M43" i="3"/>
  <c r="I86" i="3"/>
  <c r="K86" i="3" s="1"/>
  <c r="K98" i="3"/>
  <c r="L90" i="1"/>
  <c r="L88" i="1" s="1"/>
  <c r="M68" i="2"/>
  <c r="P68" i="2" s="1"/>
  <c r="N183" i="2"/>
  <c r="N181" i="2" s="1"/>
  <c r="M187" i="2"/>
  <c r="P187" i="2" s="1"/>
  <c r="K193" i="2"/>
  <c r="L9" i="3"/>
  <c r="O12" i="3"/>
  <c r="O15" i="3"/>
  <c r="P58" i="3"/>
  <c r="K79" i="3"/>
  <c r="I77" i="3"/>
  <c r="N91" i="3"/>
  <c r="O91" i="3" s="1"/>
  <c r="P96" i="3"/>
  <c r="M90" i="3"/>
  <c r="P90" i="3" s="1"/>
  <c r="M135" i="3"/>
  <c r="P135" i="3" s="1"/>
  <c r="I190" i="3"/>
  <c r="K190" i="3" s="1"/>
  <c r="P303" i="3"/>
  <c r="M301" i="3"/>
  <c r="M300" i="3"/>
  <c r="K271" i="3"/>
  <c r="I260" i="3"/>
  <c r="K260" i="3" s="1"/>
  <c r="I131" i="2"/>
  <c r="K131" i="2" s="1"/>
  <c r="N151" i="2"/>
  <c r="N149" i="2" s="1"/>
  <c r="P157" i="2"/>
  <c r="P320" i="2"/>
  <c r="K378" i="2"/>
  <c r="K381" i="2"/>
  <c r="M23" i="3"/>
  <c r="N29" i="3"/>
  <c r="N28" i="3" s="1"/>
  <c r="N31" i="3"/>
  <c r="P54" i="3"/>
  <c r="N55" i="3"/>
  <c r="N53" i="3" s="1"/>
  <c r="N59" i="3"/>
  <c r="O59" i="3" s="1"/>
  <c r="N26" i="3"/>
  <c r="I87" i="3"/>
  <c r="K87" i="3" s="1"/>
  <c r="M94" i="3"/>
  <c r="P94" i="3" s="1"/>
  <c r="P137" i="3"/>
  <c r="O157" i="3"/>
  <c r="P170" i="3"/>
  <c r="M167" i="3"/>
  <c r="L183" i="3"/>
  <c r="L184" i="3"/>
  <c r="L238" i="3"/>
  <c r="O69" i="3"/>
  <c r="O306" i="3"/>
  <c r="L300" i="3"/>
  <c r="O353" i="3"/>
  <c r="N351" i="3"/>
  <c r="O351" i="3" s="1"/>
  <c r="N34" i="3"/>
  <c r="L68" i="3"/>
  <c r="K80" i="3"/>
  <c r="K146" i="3"/>
  <c r="L151" i="3"/>
  <c r="K287" i="3"/>
  <c r="L304" i="3"/>
  <c r="O304" i="3" s="1"/>
  <c r="O350" i="3"/>
  <c r="N348" i="3"/>
  <c r="O348" i="3" s="1"/>
  <c r="P419" i="3"/>
  <c r="M12" i="3"/>
  <c r="M19" i="3"/>
  <c r="O61" i="3"/>
  <c r="O93" i="3"/>
  <c r="O154" i="3"/>
  <c r="K215" i="3"/>
  <c r="M263" i="3"/>
  <c r="N12" i="3"/>
  <c r="O58" i="3"/>
  <c r="P89" i="3"/>
  <c r="O127" i="3"/>
  <c r="O170" i="3"/>
  <c r="L217" i="3"/>
  <c r="O217" i="3" s="1"/>
  <c r="N263" i="3"/>
  <c r="P269" i="3"/>
  <c r="N334" i="3"/>
  <c r="N330" i="3"/>
  <c r="P346" i="3"/>
  <c r="P390" i="3"/>
  <c r="K592" i="3"/>
  <c r="O333" i="3"/>
  <c r="N331" i="3"/>
  <c r="N655" i="3"/>
  <c r="N786" i="3"/>
  <c r="P350" i="3"/>
  <c r="P353" i="3"/>
  <c r="K365" i="3"/>
  <c r="I364" i="3"/>
  <c r="N544" i="3"/>
  <c r="O407" i="3"/>
  <c r="O410" i="3"/>
  <c r="P420" i="3"/>
  <c r="P445" i="3"/>
  <c r="O468" i="3"/>
  <c r="L477" i="3"/>
  <c r="O477" i="3" s="1"/>
  <c r="O503" i="3"/>
  <c r="L525" i="3"/>
  <c r="M545" i="3"/>
  <c r="I559" i="3"/>
  <c r="J592" i="3"/>
  <c r="I628" i="3"/>
  <c r="K628" i="3" s="1"/>
  <c r="P630" i="3"/>
  <c r="M655" i="3"/>
  <c r="P655" i="3" s="1"/>
  <c r="K669" i="3"/>
  <c r="K673" i="3"/>
  <c r="L687" i="3"/>
  <c r="O690" i="3"/>
  <c r="N740" i="3"/>
  <c r="N757" i="3"/>
  <c r="N773" i="3"/>
  <c r="M331" i="3"/>
  <c r="M334" i="3"/>
  <c r="P334" i="3" s="1"/>
  <c r="M348" i="3"/>
  <c r="M351" i="3"/>
  <c r="O403" i="3"/>
  <c r="P468" i="3"/>
  <c r="P503" i="3"/>
  <c r="O656" i="3"/>
  <c r="K674" i="3"/>
  <c r="N688" i="3"/>
  <c r="O688" i="3" s="1"/>
  <c r="N808" i="3"/>
  <c r="L555" i="3"/>
  <c r="O555" i="3" s="1"/>
  <c r="I654" i="3"/>
  <c r="K654" i="3" s="1"/>
  <c r="L658" i="3"/>
  <c r="O658" i="3" s="1"/>
  <c r="J433" i="3"/>
  <c r="J417" i="3" s="1"/>
  <c r="N469" i="3"/>
  <c r="N467" i="3" s="1"/>
  <c r="L546" i="3"/>
  <c r="O546" i="3" s="1"/>
  <c r="J100" i="1"/>
  <c r="K100" i="1" s="1"/>
  <c r="K365" i="1"/>
  <c r="N43" i="2"/>
  <c r="N41" i="2" s="1"/>
  <c r="M69" i="2"/>
  <c r="P69" i="2" s="1"/>
  <c r="P71" i="2"/>
  <c r="I76" i="2"/>
  <c r="K76" i="2" s="1"/>
  <c r="L23" i="2"/>
  <c r="L21" i="2" s="1"/>
  <c r="K215" i="2"/>
  <c r="L217" i="2"/>
  <c r="O217" i="2" s="1"/>
  <c r="M264" i="2"/>
  <c r="P264" i="2" s="1"/>
  <c r="L267" i="2"/>
  <c r="O267" i="2" s="1"/>
  <c r="L321" i="2"/>
  <c r="O321" i="2" s="1"/>
  <c r="L330" i="2"/>
  <c r="L328" i="2" s="1"/>
  <c r="K359" i="2"/>
  <c r="L404" i="2"/>
  <c r="O404" i="2" s="1"/>
  <c r="L469" i="2"/>
  <c r="L467" i="2" s="1"/>
  <c r="O467" i="2" s="1"/>
  <c r="L36" i="2"/>
  <c r="O36" i="2" s="1"/>
  <c r="L167" i="2"/>
  <c r="M72" i="2"/>
  <c r="P72" i="2" s="1"/>
  <c r="O74" i="2"/>
  <c r="L151" i="2"/>
  <c r="L149" i="2" s="1"/>
  <c r="L171" i="2"/>
  <c r="O171" i="2" s="1"/>
  <c r="J327" i="2"/>
  <c r="K327" i="2" s="1"/>
  <c r="O407" i="2"/>
  <c r="O472" i="2"/>
  <c r="I559" i="2"/>
  <c r="K559" i="2" s="1"/>
  <c r="K111" i="2"/>
  <c r="L249" i="2"/>
  <c r="O249" i="2" s="1"/>
  <c r="L331" i="2"/>
  <c r="O331" i="2" s="1"/>
  <c r="L334" i="2"/>
  <c r="O334" i="2" s="1"/>
  <c r="L347" i="2"/>
  <c r="L345" i="2" s="1"/>
  <c r="L408" i="2"/>
  <c r="O408" i="2" s="1"/>
  <c r="N404" i="2"/>
  <c r="I434" i="2"/>
  <c r="K434" i="2" s="1"/>
  <c r="P96" i="2"/>
  <c r="L134" i="2"/>
  <c r="O134" i="2" s="1"/>
  <c r="O264" i="2"/>
  <c r="I276" i="2"/>
  <c r="K276" i="2" s="1"/>
  <c r="L317" i="2"/>
  <c r="L315" i="2" s="1"/>
  <c r="K369" i="2"/>
  <c r="K372" i="2"/>
  <c r="O394" i="2"/>
  <c r="L477" i="2"/>
  <c r="O477" i="2" s="1"/>
  <c r="L657" i="2"/>
  <c r="O657" i="2" s="1"/>
  <c r="K723" i="2"/>
  <c r="K822" i="2"/>
  <c r="K825" i="2"/>
  <c r="K828" i="2"/>
  <c r="M134" i="1"/>
  <c r="M132" i="1" s="1"/>
  <c r="K340" i="1"/>
  <c r="N55" i="2"/>
  <c r="O557" i="2"/>
  <c r="K593" i="2"/>
  <c r="K104" i="1"/>
  <c r="J235" i="1"/>
  <c r="L43" i="2"/>
  <c r="M47" i="2"/>
  <c r="P47" i="2" s="1"/>
  <c r="N68" i="2"/>
  <c r="N66" i="2" s="1"/>
  <c r="N134" i="2"/>
  <c r="N132" i="2" s="1"/>
  <c r="M135" i="2"/>
  <c r="P135" i="2" s="1"/>
  <c r="M134" i="2"/>
  <c r="P134" i="2" s="1"/>
  <c r="K176" i="2"/>
  <c r="K244" i="2"/>
  <c r="M300" i="2"/>
  <c r="K309" i="2"/>
  <c r="K314" i="2"/>
  <c r="M321" i="2"/>
  <c r="P321" i="2" s="1"/>
  <c r="K385" i="2"/>
  <c r="N402" i="2"/>
  <c r="K435" i="2"/>
  <c r="K440" i="2"/>
  <c r="K672" i="2"/>
  <c r="K669" i="2"/>
  <c r="K440" i="1"/>
  <c r="L33" i="2"/>
  <c r="M43" i="2"/>
  <c r="M91" i="2"/>
  <c r="P93" i="2"/>
  <c r="M90" i="2"/>
  <c r="M168" i="2"/>
  <c r="M317" i="2"/>
  <c r="L547" i="2"/>
  <c r="O547" i="2" s="1"/>
  <c r="L546" i="2"/>
  <c r="L544" i="2" s="1"/>
  <c r="O544" i="2" s="1"/>
  <c r="N26" i="2"/>
  <c r="N16" i="2" s="1"/>
  <c r="M23" i="2"/>
  <c r="M21" i="2" s="1"/>
  <c r="M55" i="2"/>
  <c r="M53" i="2" s="1"/>
  <c r="M171" i="2"/>
  <c r="P171" i="2" s="1"/>
  <c r="M301" i="2"/>
  <c r="P301" i="2" s="1"/>
  <c r="K325" i="2"/>
  <c r="N391" i="2"/>
  <c r="N389" i="2" s="1"/>
  <c r="I433" i="2"/>
  <c r="K651" i="2"/>
  <c r="I628" i="2"/>
  <c r="K628" i="2" s="1"/>
  <c r="K287" i="1"/>
  <c r="N391" i="1"/>
  <c r="N389" i="1" s="1"/>
  <c r="J701" i="1"/>
  <c r="K701" i="1" s="1"/>
  <c r="O71" i="2"/>
  <c r="O93" i="2"/>
  <c r="L152" i="2"/>
  <c r="O152" i="2" s="1"/>
  <c r="O173" i="2"/>
  <c r="I233" i="2"/>
  <c r="K233" i="2" s="1"/>
  <c r="I248" i="2"/>
  <c r="K248" i="2" s="1"/>
  <c r="M304" i="2"/>
  <c r="P304" i="2" s="1"/>
  <c r="P407" i="2"/>
  <c r="M405" i="2"/>
  <c r="P405" i="2" s="1"/>
  <c r="J537" i="2"/>
  <c r="O549" i="2"/>
  <c r="L688" i="2"/>
  <c r="O688" i="2" s="1"/>
  <c r="L687" i="2"/>
  <c r="O687" i="2" s="1"/>
  <c r="L231" i="1"/>
  <c r="M44" i="2"/>
  <c r="P44" i="2" s="1"/>
  <c r="O46" i="2"/>
  <c r="N59" i="2"/>
  <c r="L68" i="2"/>
  <c r="N122" i="2"/>
  <c r="K145" i="2"/>
  <c r="L155" i="2"/>
  <c r="O155" i="2" s="1"/>
  <c r="O189" i="2"/>
  <c r="L209" i="2"/>
  <c r="O209" i="2" s="1"/>
  <c r="L231" i="2"/>
  <c r="M263" i="2"/>
  <c r="M261" i="2" s="1"/>
  <c r="M279" i="2"/>
  <c r="M280" i="2"/>
  <c r="O306" i="2"/>
  <c r="M318" i="2"/>
  <c r="P318" i="2" s="1"/>
  <c r="L392" i="2"/>
  <c r="O392" i="2" s="1"/>
  <c r="K673" i="2"/>
  <c r="I77" i="2"/>
  <c r="I65" i="2" s="1"/>
  <c r="K65" i="2" s="1"/>
  <c r="L238" i="2"/>
  <c r="O238" i="2" s="1"/>
  <c r="O320" i="2"/>
  <c r="I785" i="2"/>
  <c r="K785" i="2" s="1"/>
  <c r="K821" i="2"/>
  <c r="K824" i="2"/>
  <c r="K827" i="2"/>
  <c r="J722" i="2"/>
  <c r="K722" i="2" s="1"/>
  <c r="J721" i="2"/>
  <c r="K721" i="2" s="1"/>
  <c r="K823" i="2"/>
  <c r="K826" i="2"/>
  <c r="O755" i="2"/>
  <c r="L754" i="2"/>
  <c r="O754" i="2" s="1"/>
  <c r="N121" i="1"/>
  <c r="N119" i="1" s="1"/>
  <c r="K193" i="1"/>
  <c r="K260" i="1"/>
  <c r="K290" i="1"/>
  <c r="N9" i="2"/>
  <c r="P32" i="2"/>
  <c r="M29" i="2"/>
  <c r="L56" i="2"/>
  <c r="O56" i="2" s="1"/>
  <c r="O58" i="2"/>
  <c r="K87" i="2"/>
  <c r="P120" i="2"/>
  <c r="O133" i="2"/>
  <c r="M138" i="2"/>
  <c r="P138" i="2" s="1"/>
  <c r="P140" i="2"/>
  <c r="K174" i="2"/>
  <c r="I164" i="2"/>
  <c r="K164" i="2" s="1"/>
  <c r="P186" i="2"/>
  <c r="M183" i="2"/>
  <c r="I216" i="2"/>
  <c r="K216" i="2" s="1"/>
  <c r="I442" i="2"/>
  <c r="K442" i="2" s="1"/>
  <c r="O184" i="1"/>
  <c r="P25" i="2"/>
  <c r="M15" i="2"/>
  <c r="N29" i="2"/>
  <c r="N28" i="2" s="1"/>
  <c r="N31" i="2"/>
  <c r="L26" i="2"/>
  <c r="O54" i="2"/>
  <c r="L59" i="2"/>
  <c r="O59" i="2" s="1"/>
  <c r="O61" i="2"/>
  <c r="K80" i="2"/>
  <c r="K83" i="2"/>
  <c r="I86" i="2"/>
  <c r="K86" i="2" s="1"/>
  <c r="K98" i="2"/>
  <c r="P133" i="2"/>
  <c r="N168" i="2"/>
  <c r="N23" i="2"/>
  <c r="N167" i="2"/>
  <c r="N165" i="2" s="1"/>
  <c r="M184" i="2"/>
  <c r="P184" i="2" s="1"/>
  <c r="M283" i="2"/>
  <c r="P283" i="2" s="1"/>
  <c r="M55" i="1"/>
  <c r="M53" i="1" s="1"/>
  <c r="K113" i="1"/>
  <c r="K116" i="1"/>
  <c r="N230" i="1"/>
  <c r="M279" i="1"/>
  <c r="M277" i="1" s="1"/>
  <c r="K291" i="1"/>
  <c r="O303" i="1"/>
  <c r="K400" i="1"/>
  <c r="K800" i="1"/>
  <c r="K823" i="1"/>
  <c r="K826" i="1"/>
  <c r="N15" i="2"/>
  <c r="M56" i="2"/>
  <c r="P56" i="2" s="1"/>
  <c r="M26" i="2"/>
  <c r="P61" i="2"/>
  <c r="O170" i="2"/>
  <c r="L228" i="2"/>
  <c r="N351" i="2"/>
  <c r="O351" i="2" s="1"/>
  <c r="N347" i="2"/>
  <c r="O353" i="2"/>
  <c r="P12" i="2"/>
  <c r="O278" i="2"/>
  <c r="O264" i="1"/>
  <c r="K159" i="2"/>
  <c r="I148" i="2"/>
  <c r="K148" i="2" s="1"/>
  <c r="L657" i="1"/>
  <c r="L655" i="1" s="1"/>
  <c r="M125" i="2"/>
  <c r="P125" i="2" s="1"/>
  <c r="P127" i="2"/>
  <c r="L184" i="2"/>
  <c r="O184" i="2" s="1"/>
  <c r="O186" i="2"/>
  <c r="L183" i="2"/>
  <c r="O266" i="2"/>
  <c r="L263" i="2"/>
  <c r="L283" i="2"/>
  <c r="O283" i="2" s="1"/>
  <c r="L279" i="2"/>
  <c r="O285" i="2"/>
  <c r="L639" i="2"/>
  <c r="O639" i="2" s="1"/>
  <c r="O641" i="2"/>
  <c r="L631" i="2"/>
  <c r="N43" i="1"/>
  <c r="N41" i="1" s="1"/>
  <c r="K144" i="1"/>
  <c r="K293" i="1"/>
  <c r="K311" i="1"/>
  <c r="L392" i="1"/>
  <c r="O392" i="1" s="1"/>
  <c r="K435" i="1"/>
  <c r="L525" i="1"/>
  <c r="L523" i="1" s="1"/>
  <c r="K821" i="1"/>
  <c r="M31" i="2"/>
  <c r="P31" i="2" s="1"/>
  <c r="O44" i="2"/>
  <c r="M152" i="2"/>
  <c r="P152" i="2" s="1"/>
  <c r="M151" i="2"/>
  <c r="P154" i="2"/>
  <c r="N267" i="2"/>
  <c r="N263" i="2"/>
  <c r="N261" i="2" s="1"/>
  <c r="J288" i="2"/>
  <c r="J275" i="2" s="1"/>
  <c r="I275" i="2"/>
  <c r="N301" i="2"/>
  <c r="N300" i="2"/>
  <c r="N298" i="2" s="1"/>
  <c r="L15" i="2"/>
  <c r="L29" i="2"/>
  <c r="M30" i="2"/>
  <c r="P30" i="2" s="1"/>
  <c r="L47" i="2"/>
  <c r="O47" i="2" s="1"/>
  <c r="K237" i="2"/>
  <c r="O316" i="2"/>
  <c r="P333" i="2"/>
  <c r="M331" i="2"/>
  <c r="P331" i="2" s="1"/>
  <c r="M330" i="2"/>
  <c r="O390" i="2"/>
  <c r="M419" i="2"/>
  <c r="P420" i="2"/>
  <c r="K204" i="2"/>
  <c r="I197" i="2"/>
  <c r="K197" i="2" s="1"/>
  <c r="P329" i="2"/>
  <c r="P350" i="2"/>
  <c r="M348" i="2"/>
  <c r="P348" i="2" s="1"/>
  <c r="M347" i="2"/>
  <c r="M345" i="2" s="1"/>
  <c r="P397" i="2"/>
  <c r="M395" i="2"/>
  <c r="P395" i="2" s="1"/>
  <c r="K99" i="2"/>
  <c r="O348" i="2"/>
  <c r="M408" i="2"/>
  <c r="P408" i="2" s="1"/>
  <c r="O468" i="2"/>
  <c r="M502" i="2"/>
  <c r="P502" i="2" s="1"/>
  <c r="P503" i="2"/>
  <c r="M121" i="2"/>
  <c r="P121" i="2" s="1"/>
  <c r="P124" i="2"/>
  <c r="P137" i="2"/>
  <c r="J143" i="2"/>
  <c r="J131" i="2" s="1"/>
  <c r="K144" i="2"/>
  <c r="P170" i="2"/>
  <c r="L198" i="2"/>
  <c r="O198" i="2" s="1"/>
  <c r="K374" i="2"/>
  <c r="O403" i="2"/>
  <c r="O318" i="2"/>
  <c r="P353" i="2"/>
  <c r="M351" i="2"/>
  <c r="M404" i="2"/>
  <c r="L429" i="2"/>
  <c r="O429" i="2" s="1"/>
  <c r="O431" i="2"/>
  <c r="L421" i="2"/>
  <c r="O421" i="2" s="1"/>
  <c r="M467" i="2"/>
  <c r="P467" i="2" s="1"/>
  <c r="P468" i="2"/>
  <c r="P772" i="2"/>
  <c r="M770" i="2"/>
  <c r="P770" i="2" s="1"/>
  <c r="L789" i="2"/>
  <c r="O789" i="2" s="1"/>
  <c r="O791" i="2"/>
  <c r="O807" i="2"/>
  <c r="L805" i="2"/>
  <c r="O805" i="2" s="1"/>
  <c r="O771" i="2"/>
  <c r="L770" i="2"/>
  <c r="O770" i="2" s="1"/>
  <c r="L454" i="2"/>
  <c r="O454" i="2" s="1"/>
  <c r="O456" i="2"/>
  <c r="L446" i="2"/>
  <c r="N470" i="2"/>
  <c r="O470" i="2" s="1"/>
  <c r="L526" i="2"/>
  <c r="O526" i="2" s="1"/>
  <c r="O528" i="2"/>
  <c r="N544" i="2"/>
  <c r="N414" i="2" s="1"/>
  <c r="P739" i="2"/>
  <c r="M737" i="2"/>
  <c r="P737" i="2" s="1"/>
  <c r="N807" i="2"/>
  <c r="N805" i="2" s="1"/>
  <c r="N808" i="2"/>
  <c r="P336" i="2"/>
  <c r="M334" i="2"/>
  <c r="P334" i="2" s="1"/>
  <c r="K340" i="2"/>
  <c r="K365" i="2"/>
  <c r="I443" i="2"/>
  <c r="K443" i="2" s="1"/>
  <c r="K647" i="2"/>
  <c r="K701" i="2"/>
  <c r="O738" i="2"/>
  <c r="L737" i="2"/>
  <c r="O737" i="2" s="1"/>
  <c r="J364" i="2"/>
  <c r="K370" i="2"/>
  <c r="P394" i="2"/>
  <c r="M392" i="2"/>
  <c r="P392" i="2" s="1"/>
  <c r="L525" i="2"/>
  <c r="P545" i="2"/>
  <c r="M544" i="2"/>
  <c r="P544" i="2" s="1"/>
  <c r="P756" i="2"/>
  <c r="M754" i="2"/>
  <c r="P754" i="2" s="1"/>
  <c r="O788" i="2"/>
  <c r="L786" i="2"/>
  <c r="O786" i="2" s="1"/>
  <c r="O656" i="2"/>
  <c r="K674" i="2"/>
  <c r="I654" i="2"/>
  <c r="K654" i="2" s="1"/>
  <c r="L658" i="2"/>
  <c r="O658" i="2" s="1"/>
  <c r="K675" i="2"/>
  <c r="L639" i="1"/>
  <c r="O639" i="1" s="1"/>
  <c r="O46" i="1"/>
  <c r="K78" i="1"/>
  <c r="K81" i="1"/>
  <c r="N134" i="1"/>
  <c r="N132" i="1" s="1"/>
  <c r="L229" i="1"/>
  <c r="P336" i="1"/>
  <c r="J466" i="1"/>
  <c r="K466" i="1" s="1"/>
  <c r="J596" i="1"/>
  <c r="K723" i="1"/>
  <c r="L631" i="1"/>
  <c r="L629" i="1" s="1"/>
  <c r="O61" i="1"/>
  <c r="K130" i="1"/>
  <c r="O191" i="1"/>
  <c r="L228" i="1"/>
  <c r="M280" i="1"/>
  <c r="P280" i="1" s="1"/>
  <c r="M283" i="1"/>
  <c r="P283" i="1" s="1"/>
  <c r="L300" i="1"/>
  <c r="L298" i="1" s="1"/>
  <c r="P306" i="1"/>
  <c r="K338" i="1"/>
  <c r="L391" i="1"/>
  <c r="O391" i="1" s="1"/>
  <c r="K438" i="1"/>
  <c r="K643" i="1"/>
  <c r="K720" i="1"/>
  <c r="I235" i="1"/>
  <c r="N90" i="1"/>
  <c r="M263" i="1"/>
  <c r="M261" i="1" s="1"/>
  <c r="L33" i="1"/>
  <c r="L36" i="1"/>
  <c r="O36" i="1" s="1"/>
  <c r="J77" i="1"/>
  <c r="J65" i="1" s="1"/>
  <c r="K82" i="1"/>
  <c r="J112" i="1"/>
  <c r="L151" i="1"/>
  <c r="L149" i="1" s="1"/>
  <c r="L198" i="1"/>
  <c r="K207" i="1"/>
  <c r="K208" i="1"/>
  <c r="K309" i="1"/>
  <c r="K369" i="1"/>
  <c r="K372" i="1"/>
  <c r="K647" i="1"/>
  <c r="J722" i="1"/>
  <c r="K722" i="1" s="1"/>
  <c r="L122" i="1"/>
  <c r="O122" i="1" s="1"/>
  <c r="O124" i="1"/>
  <c r="P61" i="1"/>
  <c r="M59" i="1"/>
  <c r="P59" i="1" s="1"/>
  <c r="M348" i="1"/>
  <c r="P348" i="1" s="1"/>
  <c r="P350" i="1"/>
  <c r="K433" i="1"/>
  <c r="I417" i="1"/>
  <c r="K417" i="1" s="1"/>
  <c r="N44" i="1"/>
  <c r="N68" i="1"/>
  <c r="N66" i="1" s="1"/>
  <c r="L55" i="1"/>
  <c r="L53" i="1" s="1"/>
  <c r="P56" i="1"/>
  <c r="K87" i="1"/>
  <c r="K106" i="1"/>
  <c r="K110" i="1"/>
  <c r="M151" i="1"/>
  <c r="M149" i="1" s="1"/>
  <c r="M155" i="1"/>
  <c r="P155" i="1" s="1"/>
  <c r="L171" i="1"/>
  <c r="O171" i="1" s="1"/>
  <c r="O173" i="1"/>
  <c r="L408" i="1"/>
  <c r="O408" i="1" s="1"/>
  <c r="O410" i="1"/>
  <c r="P46" i="1"/>
  <c r="L168" i="1"/>
  <c r="O168" i="1" s="1"/>
  <c r="O170" i="1"/>
  <c r="L167" i="1"/>
  <c r="L165" i="1" s="1"/>
  <c r="M347" i="1"/>
  <c r="M345" i="1" s="1"/>
  <c r="I364" i="1"/>
  <c r="K325" i="1"/>
  <c r="I314" i="1"/>
  <c r="K314" i="1" s="1"/>
  <c r="K379" i="1"/>
  <c r="M405" i="1"/>
  <c r="P405" i="1" s="1"/>
  <c r="P407" i="1"/>
  <c r="J628" i="1"/>
  <c r="K628" i="1" s="1"/>
  <c r="K651" i="1"/>
  <c r="I216" i="1"/>
  <c r="K216" i="1" s="1"/>
  <c r="K224" i="1"/>
  <c r="I276" i="1"/>
  <c r="K276" i="1" s="1"/>
  <c r="L47" i="1"/>
  <c r="O47" i="1" s="1"/>
  <c r="M392" i="1"/>
  <c r="P392" i="1" s="1"/>
  <c r="M391" i="1"/>
  <c r="M389" i="1" s="1"/>
  <c r="P389" i="1" s="1"/>
  <c r="P394" i="1"/>
  <c r="K107" i="1"/>
  <c r="J194" i="1"/>
  <c r="K204" i="1"/>
  <c r="J327" i="1"/>
  <c r="K327" i="1" s="1"/>
  <c r="O353" i="1"/>
  <c r="K385" i="1"/>
  <c r="N404" i="1"/>
  <c r="N402" i="1" s="1"/>
  <c r="J465" i="1"/>
  <c r="K465" i="1" s="1"/>
  <c r="J604" i="1"/>
  <c r="P125" i="1"/>
  <c r="I236" i="1"/>
  <c r="N249" i="1"/>
  <c r="J620" i="1"/>
  <c r="J708" i="1"/>
  <c r="K708" i="1" s="1"/>
  <c r="N122" i="1"/>
  <c r="N26" i="1"/>
  <c r="N16" i="1" s="1"/>
  <c r="N14" i="1" s="1"/>
  <c r="J143" i="1"/>
  <c r="J131" i="1" s="1"/>
  <c r="K131" i="1" s="1"/>
  <c r="I197" i="1"/>
  <c r="K197" i="1" s="1"/>
  <c r="K206" i="1"/>
  <c r="N217" i="1"/>
  <c r="N228" i="1"/>
  <c r="N231" i="1"/>
  <c r="J236" i="1"/>
  <c r="L230" i="1"/>
  <c r="M267" i="1"/>
  <c r="P267" i="1" s="1"/>
  <c r="O336" i="1"/>
  <c r="K487" i="1"/>
  <c r="N660" i="1"/>
  <c r="N658" i="1" s="1"/>
  <c r="O658" i="1" s="1"/>
  <c r="P93" i="1"/>
  <c r="O127" i="1"/>
  <c r="L134" i="1"/>
  <c r="O134" i="1" s="1"/>
  <c r="P154" i="1"/>
  <c r="L209" i="1"/>
  <c r="O350" i="1"/>
  <c r="K374" i="1"/>
  <c r="N424" i="1"/>
  <c r="N421" i="1" s="1"/>
  <c r="N419" i="1" s="1"/>
  <c r="K439" i="1"/>
  <c r="K495" i="1"/>
  <c r="J595" i="1"/>
  <c r="J603" i="1"/>
  <c r="K700" i="1"/>
  <c r="K728" i="1"/>
  <c r="O331" i="1"/>
  <c r="L249" i="1"/>
  <c r="O249" i="1" s="1"/>
  <c r="I434" i="1"/>
  <c r="I418" i="1" s="1"/>
  <c r="M47" i="1"/>
  <c r="P47" i="1" s="1"/>
  <c r="N55" i="1"/>
  <c r="N69" i="1"/>
  <c r="O69" i="1" s="1"/>
  <c r="M72" i="1"/>
  <c r="P72" i="1" s="1"/>
  <c r="K80" i="1"/>
  <c r="K83" i="1"/>
  <c r="K103" i="1"/>
  <c r="J111" i="1"/>
  <c r="K111" i="1" s="1"/>
  <c r="I112" i="1"/>
  <c r="L121" i="1"/>
  <c r="P124" i="1"/>
  <c r="N135" i="1"/>
  <c r="O135" i="1" s="1"/>
  <c r="N138" i="1"/>
  <c r="O138" i="1" s="1"/>
  <c r="K146" i="1"/>
  <c r="N151" i="1"/>
  <c r="N149" i="1" s="1"/>
  <c r="M171" i="1"/>
  <c r="P171" i="1" s="1"/>
  <c r="L187" i="1"/>
  <c r="O187" i="1" s="1"/>
  <c r="N209" i="1"/>
  <c r="O209" i="1" s="1"/>
  <c r="L217" i="1"/>
  <c r="K223" i="1"/>
  <c r="N238" i="1"/>
  <c r="N227" i="1" s="1"/>
  <c r="L263" i="1"/>
  <c r="O269" i="1"/>
  <c r="O282" i="1"/>
  <c r="J288" i="1"/>
  <c r="J275" i="1" s="1"/>
  <c r="K275" i="1" s="1"/>
  <c r="I297" i="1"/>
  <c r="K297" i="1" s="1"/>
  <c r="L301" i="1"/>
  <c r="O301" i="1" s="1"/>
  <c r="L317" i="1"/>
  <c r="L315" i="1" s="1"/>
  <c r="P333" i="1"/>
  <c r="L347" i="1"/>
  <c r="N351" i="1"/>
  <c r="O351" i="1" s="1"/>
  <c r="P353" i="1"/>
  <c r="K360" i="1"/>
  <c r="J434" i="1"/>
  <c r="J418" i="1" s="1"/>
  <c r="K492" i="1"/>
  <c r="K498" i="1"/>
  <c r="N528" i="1"/>
  <c r="N525" i="1" s="1"/>
  <c r="N523" i="1" s="1"/>
  <c r="K542" i="1"/>
  <c r="J569" i="1"/>
  <c r="K569" i="1" s="1"/>
  <c r="J583" i="1"/>
  <c r="J577" i="1" s="1"/>
  <c r="K577" i="1" s="1"/>
  <c r="K649" i="1"/>
  <c r="K670" i="1"/>
  <c r="K674" i="1"/>
  <c r="J679" i="1"/>
  <c r="J678" i="1" s="1"/>
  <c r="I785" i="1"/>
  <c r="K785" i="1" s="1"/>
  <c r="M90" i="1"/>
  <c r="M88" i="1" s="1"/>
  <c r="M404" i="1"/>
  <c r="J537" i="1"/>
  <c r="J522" i="1" s="1"/>
  <c r="L43" i="1"/>
  <c r="M121" i="1"/>
  <c r="I190" i="1"/>
  <c r="K190" i="1" s="1"/>
  <c r="L238" i="1"/>
  <c r="L279" i="1"/>
  <c r="P303" i="1"/>
  <c r="L330" i="1"/>
  <c r="L334" i="1"/>
  <c r="K355" i="1"/>
  <c r="L395" i="1"/>
  <c r="O395" i="1" s="1"/>
  <c r="L447" i="1"/>
  <c r="J568" i="1"/>
  <c r="K568" i="1" s="1"/>
  <c r="J582" i="1"/>
  <c r="J576" i="1" s="1"/>
  <c r="J721" i="1"/>
  <c r="K721" i="1" s="1"/>
  <c r="K827" i="1"/>
  <c r="L321" i="1"/>
  <c r="O321" i="1" s="1"/>
  <c r="M26" i="1"/>
  <c r="M24" i="1" s="1"/>
  <c r="M44" i="1"/>
  <c r="K115" i="1"/>
  <c r="M152" i="1"/>
  <c r="P152" i="1" s="1"/>
  <c r="M167" i="1"/>
  <c r="K215" i="1"/>
  <c r="K246" i="1"/>
  <c r="N263" i="1"/>
  <c r="O285" i="1"/>
  <c r="M300" i="1"/>
  <c r="L304" i="1"/>
  <c r="O304" i="1" s="1"/>
  <c r="M330" i="1"/>
  <c r="M328" i="1" s="1"/>
  <c r="N334" i="1"/>
  <c r="P334" i="1" s="1"/>
  <c r="N347" i="1"/>
  <c r="N345" i="1" s="1"/>
  <c r="O397" i="1"/>
  <c r="P410" i="1"/>
  <c r="K442" i="1"/>
  <c r="K462" i="1"/>
  <c r="N472" i="1"/>
  <c r="K483" i="1"/>
  <c r="L546" i="1"/>
  <c r="L544" i="1" s="1"/>
  <c r="O557" i="1"/>
  <c r="K644" i="1"/>
  <c r="I654" i="1"/>
  <c r="J729" i="1"/>
  <c r="K729" i="1" s="1"/>
  <c r="L44" i="1"/>
  <c r="O58" i="1"/>
  <c r="K109" i="1"/>
  <c r="P127" i="1"/>
  <c r="P58" i="1"/>
  <c r="L68" i="1"/>
  <c r="L66" i="1" s="1"/>
  <c r="J76" i="1"/>
  <c r="J64" i="1" s="1"/>
  <c r="K84" i="1"/>
  <c r="K98" i="1"/>
  <c r="K102" i="1"/>
  <c r="N167" i="1"/>
  <c r="P170" i="1"/>
  <c r="L183" i="1"/>
  <c r="L181" i="1" s="1"/>
  <c r="O186" i="1"/>
  <c r="N198" i="1"/>
  <c r="I233" i="1"/>
  <c r="P264" i="1"/>
  <c r="K271" i="1"/>
  <c r="N279" i="1"/>
  <c r="N300" i="1"/>
  <c r="N298" i="1" s="1"/>
  <c r="K312" i="1"/>
  <c r="N330" i="1"/>
  <c r="N328" i="1" s="1"/>
  <c r="O333" i="1"/>
  <c r="L348" i="1"/>
  <c r="O348" i="1" s="1"/>
  <c r="K378" i="1"/>
  <c r="P397" i="1"/>
  <c r="L405" i="1"/>
  <c r="O405" i="1" s="1"/>
  <c r="K437" i="1"/>
  <c r="K489" i="1"/>
  <c r="J561" i="1"/>
  <c r="K561" i="1" s="1"/>
  <c r="K671" i="1"/>
  <c r="N690" i="1"/>
  <c r="O690" i="1" s="1"/>
  <c r="K825" i="1"/>
  <c r="K828" i="1"/>
  <c r="P71" i="1"/>
  <c r="K79" i="1"/>
  <c r="K99" i="1"/>
  <c r="O125" i="1"/>
  <c r="K145" i="1"/>
  <c r="P168" i="1"/>
  <c r="M183" i="1"/>
  <c r="M181" i="1" s="1"/>
  <c r="O266" i="1"/>
  <c r="P301" i="1"/>
  <c r="K310" i="1"/>
  <c r="K359" i="1"/>
  <c r="L404" i="1"/>
  <c r="O404" i="1" s="1"/>
  <c r="K460" i="1"/>
  <c r="K485" i="1"/>
  <c r="K538" i="1"/>
  <c r="K541" i="1"/>
  <c r="N549" i="1"/>
  <c r="N547" i="1" s="1"/>
  <c r="J560" i="1"/>
  <c r="K560" i="1" s="1"/>
  <c r="N634" i="1"/>
  <c r="O634" i="1" s="1"/>
  <c r="K672" i="1"/>
  <c r="K699" i="1"/>
  <c r="K725" i="1"/>
  <c r="N791" i="1"/>
  <c r="N789" i="1" s="1"/>
  <c r="O789" i="1" s="1"/>
  <c r="M31" i="1"/>
  <c r="P31" i="1" s="1"/>
  <c r="M29" i="1"/>
  <c r="M12" i="1"/>
  <c r="O25" i="1"/>
  <c r="L15" i="1"/>
  <c r="L9" i="1" s="1"/>
  <c r="O35" i="1"/>
  <c r="L29" i="1"/>
  <c r="O12" i="1"/>
  <c r="L19" i="1"/>
  <c r="M34" i="1"/>
  <c r="P34" i="1" s="1"/>
  <c r="P36" i="1"/>
  <c r="M30" i="1"/>
  <c r="P30" i="1" s="1"/>
  <c r="I77" i="1"/>
  <c r="O89" i="1"/>
  <c r="K174" i="1"/>
  <c r="I164" i="1"/>
  <c r="K164" i="1" s="1"/>
  <c r="L23" i="1"/>
  <c r="M91" i="1"/>
  <c r="P91" i="1" s="1"/>
  <c r="N318" i="1"/>
  <c r="O318" i="1" s="1"/>
  <c r="O320" i="1"/>
  <c r="O329" i="1"/>
  <c r="N19" i="1"/>
  <c r="M68" i="1"/>
  <c r="M94" i="1"/>
  <c r="P94" i="1" s="1"/>
  <c r="K237" i="1"/>
  <c r="I226" i="1"/>
  <c r="I180" i="1" s="1"/>
  <c r="L94" i="1"/>
  <c r="O94" i="1" s="1"/>
  <c r="O96" i="1"/>
  <c r="P316" i="1"/>
  <c r="M315" i="1"/>
  <c r="P315" i="1" s="1"/>
  <c r="L59" i="1"/>
  <c r="O59" i="1" s="1"/>
  <c r="L56" i="1"/>
  <c r="O56" i="1" s="1"/>
  <c r="M15" i="1"/>
  <c r="N23" i="1"/>
  <c r="N34" i="1"/>
  <c r="P35" i="1"/>
  <c r="O71" i="1"/>
  <c r="I76" i="1"/>
  <c r="K86" i="1"/>
  <c r="L152" i="1"/>
  <c r="O152" i="1" s="1"/>
  <c r="O154" i="1"/>
  <c r="K159" i="1"/>
  <c r="N183" i="1"/>
  <c r="P184" i="1"/>
  <c r="J226" i="1"/>
  <c r="J180" i="1" s="1"/>
  <c r="O280" i="1"/>
  <c r="O133" i="1"/>
  <c r="M23" i="1"/>
  <c r="M21" i="1" s="1"/>
  <c r="O74" i="1"/>
  <c r="L26" i="1"/>
  <c r="M43" i="1"/>
  <c r="K148" i="1"/>
  <c r="K214" i="1"/>
  <c r="K225" i="1"/>
  <c r="N229" i="1"/>
  <c r="J233" i="1"/>
  <c r="N317" i="1"/>
  <c r="L91" i="1"/>
  <c r="O91" i="1" s="1"/>
  <c r="O93" i="1"/>
  <c r="M135" i="1"/>
  <c r="P137" i="1"/>
  <c r="M138" i="1"/>
  <c r="P140" i="1"/>
  <c r="L155" i="1"/>
  <c r="O155" i="1" s="1"/>
  <c r="O157" i="1"/>
  <c r="P182" i="1"/>
  <c r="K294" i="1"/>
  <c r="P467" i="1"/>
  <c r="O467" i="1"/>
  <c r="K176" i="1"/>
  <c r="K244" i="1"/>
  <c r="K247" i="1"/>
  <c r="K255" i="1"/>
  <c r="P266" i="1"/>
  <c r="P282" i="1"/>
  <c r="P419" i="1"/>
  <c r="O137" i="1"/>
  <c r="O140" i="1"/>
  <c r="P186" i="1"/>
  <c r="P189" i="1"/>
  <c r="K381" i="1"/>
  <c r="I401" i="1"/>
  <c r="K401" i="1" s="1"/>
  <c r="O431" i="1"/>
  <c r="L421" i="1"/>
  <c r="L467" i="1"/>
  <c r="L526" i="1"/>
  <c r="M685" i="1"/>
  <c r="P685" i="1" s="1"/>
  <c r="P686" i="1"/>
  <c r="K824" i="1"/>
  <c r="P331" i="1"/>
  <c r="L429" i="1"/>
  <c r="O429" i="1" s="1"/>
  <c r="P525" i="1"/>
  <c r="M523" i="1"/>
  <c r="P523" i="1" s="1"/>
  <c r="J621" i="1"/>
  <c r="M786" i="1"/>
  <c r="P786" i="1" s="1"/>
  <c r="P787" i="1"/>
  <c r="O346" i="1"/>
  <c r="J364" i="1"/>
  <c r="O479" i="1"/>
  <c r="L469" i="1"/>
  <c r="O524" i="1"/>
  <c r="I522" i="1"/>
  <c r="K822" i="1"/>
  <c r="K370" i="1"/>
  <c r="K443" i="1"/>
  <c r="N449" i="1"/>
  <c r="O468" i="1"/>
  <c r="P328" i="1"/>
  <c r="P468" i="1"/>
  <c r="L547" i="1"/>
  <c r="M655" i="1"/>
  <c r="P655" i="1" s="1"/>
  <c r="P656" i="1"/>
  <c r="K726" i="1"/>
  <c r="K362" i="1"/>
  <c r="O535" i="1"/>
  <c r="L688" i="1"/>
  <c r="N808" i="1"/>
  <c r="L687" i="1"/>
  <c r="M629" i="1"/>
  <c r="P629" i="1" s="1"/>
  <c r="L737" i="1"/>
  <c r="O737" i="1" s="1"/>
  <c r="L754" i="1"/>
  <c r="O754" i="1" s="1"/>
  <c r="L770" i="1"/>
  <c r="O770" i="1" s="1"/>
  <c r="O41" i="21" l="1"/>
  <c r="L544" i="15"/>
  <c r="O544" i="15" s="1"/>
  <c r="O330" i="19"/>
  <c r="P68" i="21"/>
  <c r="M149" i="21"/>
  <c r="P149" i="21" s="1"/>
  <c r="O36" i="18"/>
  <c r="O183" i="16"/>
  <c r="O68" i="18"/>
  <c r="P347" i="20"/>
  <c r="O88" i="21"/>
  <c r="M119" i="21"/>
  <c r="P119" i="21" s="1"/>
  <c r="O68" i="21"/>
  <c r="L685" i="19"/>
  <c r="O685" i="19" s="1"/>
  <c r="P330" i="19"/>
  <c r="O121" i="19"/>
  <c r="O300" i="21"/>
  <c r="O263" i="16"/>
  <c r="P43" i="19"/>
  <c r="L66" i="21"/>
  <c r="O66" i="21" s="1"/>
  <c r="M402" i="13"/>
  <c r="P402" i="13" s="1"/>
  <c r="M315" i="20"/>
  <c r="P315" i="20" s="1"/>
  <c r="M328" i="19"/>
  <c r="P328" i="19" s="1"/>
  <c r="P43" i="21"/>
  <c r="O181" i="21"/>
  <c r="O43" i="21"/>
  <c r="O41" i="11"/>
  <c r="P59" i="16"/>
  <c r="O55" i="19"/>
  <c r="O279" i="20"/>
  <c r="P43" i="16"/>
  <c r="P183" i="16"/>
  <c r="L149" i="16"/>
  <c r="O149" i="16" s="1"/>
  <c r="P184" i="20"/>
  <c r="L315" i="21"/>
  <c r="O315" i="21" s="1"/>
  <c r="O183" i="20"/>
  <c r="P44" i="20"/>
  <c r="L402" i="16"/>
  <c r="O402" i="16" s="1"/>
  <c r="P277" i="21"/>
  <c r="M315" i="19"/>
  <c r="P315" i="19" s="1"/>
  <c r="L419" i="20"/>
  <c r="O419" i="20" s="1"/>
  <c r="P183" i="18"/>
  <c r="O90" i="21"/>
  <c r="L655" i="19"/>
  <c r="O655" i="19" s="1"/>
  <c r="O167" i="20"/>
  <c r="P167" i="21"/>
  <c r="K143" i="16"/>
  <c r="L685" i="18"/>
  <c r="O685" i="18" s="1"/>
  <c r="P43" i="17"/>
  <c r="O90" i="20"/>
  <c r="P90" i="20"/>
  <c r="L786" i="20"/>
  <c r="O786" i="20" s="1"/>
  <c r="P348" i="14"/>
  <c r="P90" i="19"/>
  <c r="N298" i="21"/>
  <c r="O298" i="21" s="1"/>
  <c r="P330" i="21"/>
  <c r="M132" i="19"/>
  <c r="P132" i="19" s="1"/>
  <c r="L34" i="17"/>
  <c r="O34" i="17" s="1"/>
  <c r="O90" i="18"/>
  <c r="L629" i="20"/>
  <c r="O629" i="20" s="1"/>
  <c r="P90" i="18"/>
  <c r="O469" i="19"/>
  <c r="L119" i="21"/>
  <c r="O119" i="21" s="1"/>
  <c r="K364" i="14"/>
  <c r="L328" i="19"/>
  <c r="O328" i="19" s="1"/>
  <c r="P298" i="14"/>
  <c r="O347" i="15"/>
  <c r="O469" i="20"/>
  <c r="P68" i="20"/>
  <c r="M21" i="20"/>
  <c r="P21" i="20" s="1"/>
  <c r="L119" i="20"/>
  <c r="O119" i="20" s="1"/>
  <c r="O789" i="21"/>
  <c r="P279" i="21"/>
  <c r="O41" i="19"/>
  <c r="O165" i="21"/>
  <c r="O183" i="21"/>
  <c r="I64" i="15"/>
  <c r="K64" i="15" s="1"/>
  <c r="L88" i="18"/>
  <c r="O88" i="18" s="1"/>
  <c r="K174" i="19"/>
  <c r="P168" i="19"/>
  <c r="O167" i="21"/>
  <c r="L132" i="19"/>
  <c r="O132" i="19" s="1"/>
  <c r="I164" i="21"/>
  <c r="K164" i="21" s="1"/>
  <c r="P59" i="21"/>
  <c r="P347" i="15"/>
  <c r="O263" i="21"/>
  <c r="P183" i="21"/>
  <c r="P263" i="21"/>
  <c r="M24" i="16"/>
  <c r="P261" i="19"/>
  <c r="L389" i="20"/>
  <c r="O389" i="20" s="1"/>
  <c r="O404" i="20"/>
  <c r="O655" i="21"/>
  <c r="O69" i="21"/>
  <c r="L149" i="21"/>
  <c r="O149" i="21" s="1"/>
  <c r="M24" i="21"/>
  <c r="M181" i="21"/>
  <c r="P181" i="21" s="1"/>
  <c r="O421" i="3"/>
  <c r="L523" i="14"/>
  <c r="O523" i="14" s="1"/>
  <c r="I418" i="17"/>
  <c r="K418" i="17" s="1"/>
  <c r="O68" i="19"/>
  <c r="K77" i="19"/>
  <c r="P263" i="19"/>
  <c r="N345" i="20"/>
  <c r="P345" i="20" s="1"/>
  <c r="P26" i="21"/>
  <c r="L685" i="17"/>
  <c r="O685" i="17" s="1"/>
  <c r="N20" i="17"/>
  <c r="N18" i="17" s="1"/>
  <c r="P90" i="17"/>
  <c r="M261" i="21"/>
  <c r="P261" i="21" s="1"/>
  <c r="M315" i="7"/>
  <c r="P315" i="7" s="1"/>
  <c r="O165" i="18"/>
  <c r="L149" i="19"/>
  <c r="O149" i="19" s="1"/>
  <c r="O546" i="21"/>
  <c r="P347" i="21"/>
  <c r="N14" i="21"/>
  <c r="N24" i="21"/>
  <c r="L16" i="21"/>
  <c r="O16" i="21" s="1"/>
  <c r="L315" i="12"/>
  <c r="O315" i="12" s="1"/>
  <c r="P300" i="20"/>
  <c r="P165" i="18"/>
  <c r="P298" i="20"/>
  <c r="P90" i="21"/>
  <c r="M149" i="16"/>
  <c r="P149" i="16" s="1"/>
  <c r="O90" i="17"/>
  <c r="P88" i="15"/>
  <c r="O23" i="19"/>
  <c r="M402" i="20"/>
  <c r="P402" i="20" s="1"/>
  <c r="P151" i="20"/>
  <c r="K434" i="20"/>
  <c r="O43" i="20"/>
  <c r="O347" i="21"/>
  <c r="P348" i="21"/>
  <c r="P261" i="12"/>
  <c r="M402" i="16"/>
  <c r="P402" i="16" s="1"/>
  <c r="N21" i="17"/>
  <c r="O134" i="17"/>
  <c r="M149" i="19"/>
  <c r="P149" i="19" s="1"/>
  <c r="L261" i="21"/>
  <c r="O261" i="21" s="1"/>
  <c r="P55" i="12"/>
  <c r="L629" i="15"/>
  <c r="O629" i="15" s="1"/>
  <c r="M88" i="17"/>
  <c r="P88" i="17" s="1"/>
  <c r="L523" i="19"/>
  <c r="O523" i="19" s="1"/>
  <c r="K433" i="20"/>
  <c r="O68" i="20"/>
  <c r="L402" i="21"/>
  <c r="O402" i="21" s="1"/>
  <c r="P91" i="21"/>
  <c r="L53" i="21"/>
  <c r="O53" i="21" s="1"/>
  <c r="L655" i="3"/>
  <c r="O655" i="3" s="1"/>
  <c r="L30" i="18"/>
  <c r="O30" i="18" s="1"/>
  <c r="O165" i="9"/>
  <c r="O546" i="19"/>
  <c r="M41" i="21"/>
  <c r="P41" i="21" s="1"/>
  <c r="L629" i="17"/>
  <c r="O629" i="17" s="1"/>
  <c r="O43" i="17"/>
  <c r="P168" i="18"/>
  <c r="K364" i="19"/>
  <c r="L402" i="19"/>
  <c r="O402" i="19" s="1"/>
  <c r="O90" i="19"/>
  <c r="L315" i="20"/>
  <c r="O315" i="20" s="1"/>
  <c r="L66" i="20"/>
  <c r="O66" i="20" s="1"/>
  <c r="N41" i="20"/>
  <c r="O41" i="20" s="1"/>
  <c r="M66" i="21"/>
  <c r="P66" i="21" s="1"/>
  <c r="O331" i="21"/>
  <c r="O26" i="21"/>
  <c r="P317" i="21"/>
  <c r="M315" i="21"/>
  <c r="P315" i="21" s="1"/>
  <c r="L20" i="21"/>
  <c r="L18" i="21" s="1"/>
  <c r="L21" i="21"/>
  <c r="P298" i="15"/>
  <c r="M165" i="17"/>
  <c r="P165" i="17" s="1"/>
  <c r="K364" i="17"/>
  <c r="K76" i="17"/>
  <c r="P167" i="18"/>
  <c r="L16" i="18"/>
  <c r="L14" i="18" s="1"/>
  <c r="O469" i="21"/>
  <c r="O345" i="21"/>
  <c r="P23" i="21"/>
  <c r="M20" i="21"/>
  <c r="M18" i="21" s="1"/>
  <c r="L444" i="15"/>
  <c r="O444" i="15" s="1"/>
  <c r="P168" i="15"/>
  <c r="P167" i="15"/>
  <c r="M402" i="18"/>
  <c r="P402" i="18" s="1"/>
  <c r="P348" i="20"/>
  <c r="M88" i="20"/>
  <c r="P88" i="20" s="1"/>
  <c r="P165" i="21"/>
  <c r="L24" i="21"/>
  <c r="M21" i="21"/>
  <c r="L30" i="21"/>
  <c r="O30" i="21" s="1"/>
  <c r="O33" i="21"/>
  <c r="L31" i="21"/>
  <c r="O31" i="21" s="1"/>
  <c r="P55" i="17"/>
  <c r="O121" i="18"/>
  <c r="O121" i="17"/>
  <c r="P68" i="18"/>
  <c r="O167" i="19"/>
  <c r="L13" i="21"/>
  <c r="L11" i="21" s="1"/>
  <c r="O391" i="21"/>
  <c r="L389" i="21"/>
  <c r="O389" i="21" s="1"/>
  <c r="O330" i="21"/>
  <c r="N328" i="21"/>
  <c r="O328" i="21" s="1"/>
  <c r="M41" i="17"/>
  <c r="P41" i="17" s="1"/>
  <c r="P263" i="18"/>
  <c r="P121" i="18"/>
  <c r="M328" i="21"/>
  <c r="L34" i="21"/>
  <c r="O34" i="21" s="1"/>
  <c r="O36" i="21"/>
  <c r="L132" i="21"/>
  <c r="O132" i="21" s="1"/>
  <c r="M132" i="21"/>
  <c r="P132" i="21" s="1"/>
  <c r="O328" i="12"/>
  <c r="O43" i="19"/>
  <c r="M389" i="19"/>
  <c r="P389" i="19" s="1"/>
  <c r="O151" i="20"/>
  <c r="O629" i="21"/>
  <c r="O631" i="21"/>
  <c r="P391" i="21"/>
  <c r="M389" i="21"/>
  <c r="P389" i="21" s="1"/>
  <c r="K237" i="21"/>
  <c r="I226" i="21"/>
  <c r="P168" i="21"/>
  <c r="L227" i="21"/>
  <c r="I64" i="21"/>
  <c r="K64" i="21" s="1"/>
  <c r="K76" i="21"/>
  <c r="M66" i="18"/>
  <c r="P66" i="18" s="1"/>
  <c r="P91" i="18"/>
  <c r="P545" i="21"/>
  <c r="M544" i="21"/>
  <c r="P544" i="21" s="1"/>
  <c r="M414" i="21"/>
  <c r="P414" i="21" s="1"/>
  <c r="P419" i="21"/>
  <c r="N9" i="21"/>
  <c r="P88" i="21"/>
  <c r="M28" i="21"/>
  <c r="P28" i="21" s="1"/>
  <c r="O525" i="21"/>
  <c r="L523" i="21"/>
  <c r="O523" i="21" s="1"/>
  <c r="M345" i="21"/>
  <c r="P345" i="21" s="1"/>
  <c r="I65" i="21"/>
  <c r="K65" i="21" s="1"/>
  <c r="K77" i="21"/>
  <c r="P90" i="15"/>
  <c r="L389" i="17"/>
  <c r="O389" i="17" s="1"/>
  <c r="O167" i="18"/>
  <c r="P347" i="18"/>
  <c r="L165" i="20"/>
  <c r="O165" i="20" s="1"/>
  <c r="O56" i="20"/>
  <c r="I418" i="21"/>
  <c r="K418" i="21" s="1"/>
  <c r="K434" i="21"/>
  <c r="O446" i="21"/>
  <c r="L444" i="21"/>
  <c r="O444" i="21" s="1"/>
  <c r="K433" i="21"/>
  <c r="K364" i="21"/>
  <c r="M402" i="21"/>
  <c r="P402" i="21" s="1"/>
  <c r="O90" i="15"/>
  <c r="O421" i="21"/>
  <c r="L419" i="21"/>
  <c r="O279" i="21"/>
  <c r="L277" i="21"/>
  <c r="O277" i="21" s="1"/>
  <c r="N786" i="21"/>
  <c r="O786" i="21" s="1"/>
  <c r="P184" i="21"/>
  <c r="P55" i="21"/>
  <c r="M53" i="21"/>
  <c r="P53" i="21" s="1"/>
  <c r="O9" i="21"/>
  <c r="O29" i="21"/>
  <c r="M14" i="21"/>
  <c r="P16" i="21"/>
  <c r="M10" i="21"/>
  <c r="O687" i="21"/>
  <c r="L685" i="21"/>
  <c r="O685" i="21" s="1"/>
  <c r="P300" i="21"/>
  <c r="P280" i="21"/>
  <c r="O15" i="21"/>
  <c r="O23" i="21"/>
  <c r="N20" i="21"/>
  <c r="N13" i="21"/>
  <c r="N21" i="21"/>
  <c r="P12" i="21"/>
  <c r="M11" i="21"/>
  <c r="M9" i="21"/>
  <c r="K143" i="21"/>
  <c r="I131" i="21"/>
  <c r="K131" i="21" s="1"/>
  <c r="L31" i="18"/>
  <c r="O31" i="18" s="1"/>
  <c r="L444" i="19"/>
  <c r="O444" i="19" s="1"/>
  <c r="N53" i="19"/>
  <c r="L16" i="19"/>
  <c r="L14" i="19" s="1"/>
  <c r="O14" i="19" s="1"/>
  <c r="K417" i="20"/>
  <c r="P263" i="20"/>
  <c r="N277" i="20"/>
  <c r="O277" i="20" s="1"/>
  <c r="L655" i="20"/>
  <c r="O655" i="20" s="1"/>
  <c r="O183" i="19"/>
  <c r="L227" i="19"/>
  <c r="P181" i="19"/>
  <c r="L544" i="20"/>
  <c r="O544" i="20" s="1"/>
  <c r="M132" i="20"/>
  <c r="P132" i="20" s="1"/>
  <c r="L467" i="18"/>
  <c r="O467" i="18" s="1"/>
  <c r="L298" i="18"/>
  <c r="O298" i="18" s="1"/>
  <c r="M66" i="20"/>
  <c r="P66" i="20" s="1"/>
  <c r="I418" i="10"/>
  <c r="K418" i="10" s="1"/>
  <c r="K364" i="20"/>
  <c r="L30" i="20"/>
  <c r="O30" i="20" s="1"/>
  <c r="K288" i="20"/>
  <c r="L227" i="20"/>
  <c r="O238" i="20"/>
  <c r="O331" i="19"/>
  <c r="P43" i="20"/>
  <c r="M41" i="20"/>
  <c r="M13" i="19"/>
  <c r="M11" i="19" s="1"/>
  <c r="L34" i="20"/>
  <c r="O34" i="20" s="1"/>
  <c r="O149" i="20"/>
  <c r="O33" i="20"/>
  <c r="L31" i="20"/>
  <c r="O31" i="20" s="1"/>
  <c r="L389" i="19"/>
  <c r="O389" i="19" s="1"/>
  <c r="N88" i="19"/>
  <c r="P88" i="19" s="1"/>
  <c r="L88" i="19"/>
  <c r="L34" i="10"/>
  <c r="O34" i="10" s="1"/>
  <c r="P348" i="10"/>
  <c r="K559" i="15"/>
  <c r="O261" i="18"/>
  <c r="P55" i="18"/>
  <c r="P69" i="20"/>
  <c r="N13" i="18"/>
  <c r="P13" i="18" s="1"/>
  <c r="O687" i="20"/>
  <c r="L685" i="20"/>
  <c r="O685" i="20" s="1"/>
  <c r="N414" i="20"/>
  <c r="O347" i="20"/>
  <c r="L345" i="20"/>
  <c r="M119" i="20"/>
  <c r="P119" i="20" s="1"/>
  <c r="P121" i="20"/>
  <c r="P391" i="20"/>
  <c r="M389" i="20"/>
  <c r="P389" i="20" s="1"/>
  <c r="O263" i="20"/>
  <c r="L261" i="20"/>
  <c r="O467" i="20"/>
  <c r="P15" i="20"/>
  <c r="L132" i="20"/>
  <c r="O132" i="20" s="1"/>
  <c r="O19" i="20"/>
  <c r="L165" i="19"/>
  <c r="O165" i="19" s="1"/>
  <c r="L523" i="20"/>
  <c r="O523" i="20" s="1"/>
  <c r="O351" i="20"/>
  <c r="L298" i="20"/>
  <c r="O298" i="20" s="1"/>
  <c r="O300" i="20"/>
  <c r="M16" i="20"/>
  <c r="M14" i="20" s="1"/>
  <c r="P26" i="20"/>
  <c r="P183" i="20"/>
  <c r="M181" i="20"/>
  <c r="P181" i="20" s="1"/>
  <c r="L88" i="20"/>
  <c r="O88" i="20" s="1"/>
  <c r="P55" i="20"/>
  <c r="N53" i="20"/>
  <c r="O55" i="20"/>
  <c r="O168" i="20"/>
  <c r="P9" i="20"/>
  <c r="N20" i="20"/>
  <c r="N18" i="20" s="1"/>
  <c r="N13" i="20"/>
  <c r="K143" i="20"/>
  <c r="I131" i="20"/>
  <c r="K131" i="20" s="1"/>
  <c r="O36" i="19"/>
  <c r="L34" i="19"/>
  <c r="O34" i="19" s="1"/>
  <c r="L444" i="20"/>
  <c r="O444" i="20" s="1"/>
  <c r="O446" i="20"/>
  <c r="I543" i="20"/>
  <c r="K543" i="20" s="1"/>
  <c r="K559" i="20"/>
  <c r="O330" i="20"/>
  <c r="N328" i="20"/>
  <c r="P328" i="20" s="1"/>
  <c r="P29" i="20"/>
  <c r="M28" i="20"/>
  <c r="P28" i="20" s="1"/>
  <c r="K237" i="20"/>
  <c r="I226" i="20"/>
  <c r="K226" i="20" s="1"/>
  <c r="N261" i="20"/>
  <c r="P261" i="20" s="1"/>
  <c r="N16" i="20"/>
  <c r="N14" i="20" s="1"/>
  <c r="N24" i="20"/>
  <c r="N9" i="20"/>
  <c r="K77" i="20"/>
  <c r="I65" i="20"/>
  <c r="K65" i="20" s="1"/>
  <c r="K275" i="20"/>
  <c r="O26" i="20"/>
  <c r="L16" i="20"/>
  <c r="L24" i="20"/>
  <c r="P279" i="20"/>
  <c r="M277" i="20"/>
  <c r="M24" i="20"/>
  <c r="O184" i="20"/>
  <c r="O21" i="20"/>
  <c r="I64" i="20"/>
  <c r="K64" i="20" s="1"/>
  <c r="K76" i="20"/>
  <c r="M20" i="20"/>
  <c r="P183" i="19"/>
  <c r="P545" i="20"/>
  <c r="M544" i="20"/>
  <c r="P330" i="20"/>
  <c r="O91" i="20"/>
  <c r="M149" i="20"/>
  <c r="P149" i="20" s="1"/>
  <c r="L9" i="20"/>
  <c r="O12" i="20"/>
  <c r="L181" i="20"/>
  <c r="O181" i="20" s="1"/>
  <c r="O23" i="20"/>
  <c r="L20" i="20"/>
  <c r="L13" i="20"/>
  <c r="P167" i="20"/>
  <c r="M165" i="20"/>
  <c r="P165" i="20" s="1"/>
  <c r="P23" i="20"/>
  <c r="M11" i="20"/>
  <c r="N14" i="16"/>
  <c r="P331" i="19"/>
  <c r="M402" i="19"/>
  <c r="P402" i="19" s="1"/>
  <c r="M20" i="19"/>
  <c r="M18" i="19" s="1"/>
  <c r="K76" i="19"/>
  <c r="I64" i="19"/>
  <c r="K64" i="19" s="1"/>
  <c r="P53" i="18"/>
  <c r="M24" i="19"/>
  <c r="K143" i="19"/>
  <c r="I131" i="19"/>
  <c r="K131" i="19" s="1"/>
  <c r="P55" i="19"/>
  <c r="L227" i="18"/>
  <c r="L20" i="19"/>
  <c r="L18" i="19" s="1"/>
  <c r="O330" i="15"/>
  <c r="M149" i="18"/>
  <c r="P149" i="18" s="1"/>
  <c r="M24" i="18"/>
  <c r="L315" i="19"/>
  <c r="O315" i="19" s="1"/>
  <c r="L298" i="19"/>
  <c r="O298" i="19" s="1"/>
  <c r="O300" i="19"/>
  <c r="L181" i="19"/>
  <c r="O181" i="19" s="1"/>
  <c r="M277" i="19"/>
  <c r="P277" i="19" s="1"/>
  <c r="P347" i="19"/>
  <c r="O347" i="19"/>
  <c r="P23" i="17"/>
  <c r="O279" i="18"/>
  <c r="L31" i="19"/>
  <c r="O31" i="19" s="1"/>
  <c r="O69" i="19"/>
  <c r="O279" i="19"/>
  <c r="L277" i="19"/>
  <c r="O277" i="19" s="1"/>
  <c r="L13" i="19"/>
  <c r="L261" i="19"/>
  <c r="O261" i="19" s="1"/>
  <c r="O263" i="19"/>
  <c r="L389" i="18"/>
  <c r="O389" i="18" s="1"/>
  <c r="P56" i="18"/>
  <c r="L30" i="19"/>
  <c r="O30" i="19" s="1"/>
  <c r="P44" i="19"/>
  <c r="O345" i="19"/>
  <c r="M298" i="19"/>
  <c r="P298" i="19" s="1"/>
  <c r="P300" i="19"/>
  <c r="P167" i="19"/>
  <c r="M165" i="19"/>
  <c r="P165" i="19" s="1"/>
  <c r="K434" i="19"/>
  <c r="I418" i="19"/>
  <c r="K418" i="19" s="1"/>
  <c r="M119" i="19"/>
  <c r="P119" i="19" s="1"/>
  <c r="P345" i="19"/>
  <c r="O43" i="18"/>
  <c r="P13" i="17"/>
  <c r="L132" i="16"/>
  <c r="O132" i="16" s="1"/>
  <c r="O347" i="18"/>
  <c r="M119" i="18"/>
  <c r="P119" i="18" s="1"/>
  <c r="L149" i="18"/>
  <c r="O149" i="18" s="1"/>
  <c r="K433" i="19"/>
  <c r="J417" i="19"/>
  <c r="K417" i="19" s="1"/>
  <c r="L419" i="19"/>
  <c r="M28" i="19"/>
  <c r="P28" i="19" s="1"/>
  <c r="P30" i="19"/>
  <c r="M414" i="19"/>
  <c r="P414" i="19" s="1"/>
  <c r="P419" i="19"/>
  <c r="P41" i="19"/>
  <c r="M14" i="19"/>
  <c r="P14" i="19" s="1"/>
  <c r="P16" i="19"/>
  <c r="P69" i="19"/>
  <c r="L31" i="16"/>
  <c r="O31" i="16" s="1"/>
  <c r="P66" i="17"/>
  <c r="P56" i="19"/>
  <c r="O15" i="19"/>
  <c r="P26" i="19"/>
  <c r="P90" i="16"/>
  <c r="M132" i="18"/>
  <c r="P132" i="18" s="1"/>
  <c r="K237" i="19"/>
  <c r="I226" i="19"/>
  <c r="K226" i="19" s="1"/>
  <c r="N24" i="19"/>
  <c r="O24" i="19" s="1"/>
  <c r="O26" i="19"/>
  <c r="M389" i="18"/>
  <c r="P389" i="18" s="1"/>
  <c r="M261" i="18"/>
  <c r="P261" i="18" s="1"/>
  <c r="I131" i="18"/>
  <c r="K131" i="18" s="1"/>
  <c r="M149" i="17"/>
  <c r="P149" i="17" s="1"/>
  <c r="O328" i="18"/>
  <c r="L629" i="19"/>
  <c r="O629" i="19" s="1"/>
  <c r="P68" i="19"/>
  <c r="N66" i="19"/>
  <c r="P19" i="19"/>
  <c r="N20" i="19"/>
  <c r="N13" i="19"/>
  <c r="P23" i="19"/>
  <c r="N21" i="19"/>
  <c r="O29" i="19"/>
  <c r="L9" i="19"/>
  <c r="P404" i="11"/>
  <c r="I164" i="13"/>
  <c r="K164" i="13" s="1"/>
  <c r="O279" i="16"/>
  <c r="P330" i="17"/>
  <c r="L88" i="17"/>
  <c r="O88" i="17" s="1"/>
  <c r="P68" i="17"/>
  <c r="L132" i="18"/>
  <c r="O132" i="18" s="1"/>
  <c r="O300" i="8"/>
  <c r="O134" i="11"/>
  <c r="L66" i="18"/>
  <c r="O66" i="18" s="1"/>
  <c r="L523" i="15"/>
  <c r="O523" i="15" s="1"/>
  <c r="L132" i="17"/>
  <c r="O132" i="17" s="1"/>
  <c r="M298" i="18"/>
  <c r="P298" i="18" s="1"/>
  <c r="N20" i="18"/>
  <c r="N18" i="18" s="1"/>
  <c r="O277" i="18"/>
  <c r="P328" i="17"/>
  <c r="L165" i="17"/>
  <c r="O165" i="17" s="1"/>
  <c r="O345" i="18"/>
  <c r="O68" i="17"/>
  <c r="K434" i="18"/>
  <c r="K288" i="10"/>
  <c r="O167" i="13"/>
  <c r="P167" i="13"/>
  <c r="P351" i="17"/>
  <c r="P26" i="18"/>
  <c r="N24" i="18"/>
  <c r="N16" i="18"/>
  <c r="L389" i="10"/>
  <c r="O389" i="10" s="1"/>
  <c r="P88" i="12"/>
  <c r="O263" i="18"/>
  <c r="N181" i="18"/>
  <c r="P181" i="18" s="1"/>
  <c r="O347" i="6"/>
  <c r="L66" i="16"/>
  <c r="O66" i="16" s="1"/>
  <c r="L298" i="17"/>
  <c r="O298" i="17" s="1"/>
  <c r="O330" i="18"/>
  <c r="M88" i="18"/>
  <c r="P88" i="18" s="1"/>
  <c r="P23" i="18"/>
  <c r="M21" i="18"/>
  <c r="P21" i="18" s="1"/>
  <c r="M20" i="18"/>
  <c r="P43" i="18"/>
  <c r="M41" i="18"/>
  <c r="P41" i="18" s="1"/>
  <c r="K76" i="16"/>
  <c r="M298" i="17"/>
  <c r="P298" i="17" s="1"/>
  <c r="L66" i="17"/>
  <c r="O66" i="17" s="1"/>
  <c r="K433" i="17"/>
  <c r="O168" i="18"/>
  <c r="O26" i="18"/>
  <c r="P330" i="18"/>
  <c r="N165" i="15"/>
  <c r="P165" i="15" s="1"/>
  <c r="K433" i="18"/>
  <c r="I417" i="18"/>
  <c r="K417" i="18" s="1"/>
  <c r="K288" i="18"/>
  <c r="L13" i="18"/>
  <c r="O23" i="18"/>
  <c r="L20" i="18"/>
  <c r="O9" i="18"/>
  <c r="P183" i="10"/>
  <c r="O68" i="14"/>
  <c r="O167" i="15"/>
  <c r="L181" i="16"/>
  <c r="O181" i="16" s="1"/>
  <c r="O331" i="17"/>
  <c r="N53" i="17"/>
  <c r="P53" i="17" s="1"/>
  <c r="M414" i="18"/>
  <c r="P414" i="18" s="1"/>
  <c r="P419" i="18"/>
  <c r="J654" i="18"/>
  <c r="K654" i="18" s="1"/>
  <c r="K669" i="18"/>
  <c r="M328" i="18"/>
  <c r="P328" i="18" s="1"/>
  <c r="I64" i="18"/>
  <c r="K64" i="18" s="1"/>
  <c r="K76" i="18"/>
  <c r="M10" i="18"/>
  <c r="O43" i="13"/>
  <c r="K417" i="15"/>
  <c r="M21" i="17"/>
  <c r="K417" i="17"/>
  <c r="O631" i="18"/>
  <c r="L629" i="18"/>
  <c r="O629" i="18" s="1"/>
  <c r="K275" i="18"/>
  <c r="K226" i="18"/>
  <c r="I180" i="18"/>
  <c r="K180" i="18" s="1"/>
  <c r="O470" i="18"/>
  <c r="P345" i="18"/>
  <c r="L21" i="18"/>
  <c r="O21" i="18" s="1"/>
  <c r="P29" i="18"/>
  <c r="M28" i="18"/>
  <c r="P28" i="18" s="1"/>
  <c r="L315" i="16"/>
  <c r="O315" i="16" s="1"/>
  <c r="L402" i="17"/>
  <c r="O402" i="17" s="1"/>
  <c r="J364" i="18"/>
  <c r="K364" i="18" s="1"/>
  <c r="K365" i="18"/>
  <c r="O183" i="18"/>
  <c r="L181" i="18"/>
  <c r="L444" i="18"/>
  <c r="O444" i="18" s="1"/>
  <c r="O19" i="18"/>
  <c r="N9" i="18"/>
  <c r="M11" i="18"/>
  <c r="P12" i="18"/>
  <c r="M9" i="18"/>
  <c r="K364" i="15"/>
  <c r="L315" i="17"/>
  <c r="O315" i="17" s="1"/>
  <c r="O69" i="17"/>
  <c r="L315" i="18"/>
  <c r="O315" i="18" s="1"/>
  <c r="O421" i="18"/>
  <c r="L419" i="18"/>
  <c r="P279" i="18"/>
  <c r="M277" i="18"/>
  <c r="P277" i="18" s="1"/>
  <c r="L119" i="18"/>
  <c r="O119" i="18" s="1"/>
  <c r="L53" i="18"/>
  <c r="O53" i="18" s="1"/>
  <c r="O55" i="18"/>
  <c r="O546" i="18"/>
  <c r="L544" i="18"/>
  <c r="O544" i="18" s="1"/>
  <c r="M315" i="18"/>
  <c r="P315" i="18" s="1"/>
  <c r="P317" i="18"/>
  <c r="O41" i="18"/>
  <c r="P19" i="18"/>
  <c r="P181" i="15"/>
  <c r="L655" i="18"/>
  <c r="O655" i="18" s="1"/>
  <c r="O657" i="18"/>
  <c r="O525" i="18"/>
  <c r="L523" i="18"/>
  <c r="O523" i="18" s="1"/>
  <c r="L402" i="18"/>
  <c r="O402" i="18" s="1"/>
  <c r="O404" i="18"/>
  <c r="K77" i="18"/>
  <c r="I65" i="18"/>
  <c r="K65" i="18" s="1"/>
  <c r="O632" i="17"/>
  <c r="K433" i="16"/>
  <c r="K77" i="17"/>
  <c r="I65" i="17"/>
  <c r="K65" i="17" s="1"/>
  <c r="L444" i="17"/>
  <c r="O444" i="17" s="1"/>
  <c r="O469" i="17"/>
  <c r="L467" i="17"/>
  <c r="O467" i="17" s="1"/>
  <c r="I164" i="17"/>
  <c r="K164" i="17" s="1"/>
  <c r="K174" i="17"/>
  <c r="P134" i="17"/>
  <c r="M132" i="17"/>
  <c r="P132" i="17" s="1"/>
  <c r="P16" i="16"/>
  <c r="L30" i="17"/>
  <c r="O30" i="17" s="1"/>
  <c r="O347" i="17"/>
  <c r="O151" i="17"/>
  <c r="L149" i="17"/>
  <c r="O149" i="17" s="1"/>
  <c r="L31" i="17"/>
  <c r="O31" i="17" s="1"/>
  <c r="O328" i="17"/>
  <c r="O330" i="17"/>
  <c r="K288" i="17"/>
  <c r="J275" i="17"/>
  <c r="K275" i="17" s="1"/>
  <c r="O36" i="14"/>
  <c r="I418" i="14"/>
  <c r="K418" i="14" s="1"/>
  <c r="O300" i="16"/>
  <c r="O90" i="16"/>
  <c r="P330" i="15"/>
  <c r="L345" i="17"/>
  <c r="O345" i="17" s="1"/>
  <c r="P121" i="17"/>
  <c r="M119" i="17"/>
  <c r="P119" i="17" s="1"/>
  <c r="O345" i="12"/>
  <c r="K417" i="13"/>
  <c r="L119" i="15"/>
  <c r="O119" i="15" s="1"/>
  <c r="L402" i="15"/>
  <c r="O402" i="15" s="1"/>
  <c r="L389" i="16"/>
  <c r="O389" i="16" s="1"/>
  <c r="P348" i="16"/>
  <c r="J417" i="16"/>
  <c r="K417" i="16" s="1"/>
  <c r="O55" i="17"/>
  <c r="L53" i="17"/>
  <c r="O183" i="10"/>
  <c r="P328" i="15"/>
  <c r="L34" i="16"/>
  <c r="O34" i="16" s="1"/>
  <c r="O331" i="16"/>
  <c r="O261" i="17"/>
  <c r="N88" i="16"/>
  <c r="P88" i="16" s="1"/>
  <c r="L419" i="17"/>
  <c r="O419" i="17" s="1"/>
  <c r="O263" i="17"/>
  <c r="L655" i="4"/>
  <c r="O655" i="4" s="1"/>
  <c r="L685" i="8"/>
  <c r="O685" i="8" s="1"/>
  <c r="L34" i="12"/>
  <c r="O34" i="12" s="1"/>
  <c r="P121" i="14"/>
  <c r="L165" i="15"/>
  <c r="N13" i="15"/>
  <c r="P13" i="15" s="1"/>
  <c r="M181" i="16"/>
  <c r="P181" i="16" s="1"/>
  <c r="M66" i="16"/>
  <c r="P66" i="16" s="1"/>
  <c r="P347" i="16"/>
  <c r="O788" i="17"/>
  <c r="L786" i="17"/>
  <c r="O786" i="17" s="1"/>
  <c r="M345" i="17"/>
  <c r="P345" i="17" s="1"/>
  <c r="P347" i="17"/>
  <c r="P19" i="17"/>
  <c r="P317" i="17"/>
  <c r="M315" i="17"/>
  <c r="P315" i="17" s="1"/>
  <c r="P263" i="17"/>
  <c r="M261" i="17"/>
  <c r="P261" i="17" s="1"/>
  <c r="L389" i="13"/>
  <c r="O389" i="13" s="1"/>
  <c r="L523" i="16"/>
  <c r="O523" i="16" s="1"/>
  <c r="P279" i="17"/>
  <c r="N277" i="17"/>
  <c r="P277" i="17" s="1"/>
  <c r="K593" i="17"/>
  <c r="J592" i="17"/>
  <c r="K592" i="17" s="1"/>
  <c r="M414" i="17"/>
  <c r="P414" i="17" s="1"/>
  <c r="P419" i="17"/>
  <c r="O29" i="17"/>
  <c r="N655" i="17"/>
  <c r="O655" i="17" s="1"/>
  <c r="P300" i="14"/>
  <c r="K433" i="15"/>
  <c r="P43" i="15"/>
  <c r="K364" i="16"/>
  <c r="L544" i="17"/>
  <c r="O544" i="17" s="1"/>
  <c r="O546" i="17"/>
  <c r="O525" i="17"/>
  <c r="L523" i="17"/>
  <c r="O523" i="17" s="1"/>
  <c r="O15" i="17"/>
  <c r="N11" i="17"/>
  <c r="P391" i="17"/>
  <c r="M389" i="17"/>
  <c r="P389" i="17" s="1"/>
  <c r="P183" i="17"/>
  <c r="N181" i="17"/>
  <c r="O183" i="17"/>
  <c r="M11" i="17"/>
  <c r="P12" i="17"/>
  <c r="M9" i="17"/>
  <c r="K374" i="15"/>
  <c r="N298" i="16"/>
  <c r="O298" i="16" s="1"/>
  <c r="P404" i="17"/>
  <c r="M402" i="17"/>
  <c r="P402" i="17" s="1"/>
  <c r="K237" i="17"/>
  <c r="I226" i="17"/>
  <c r="K226" i="17" s="1"/>
  <c r="O9" i="17"/>
  <c r="O23" i="17"/>
  <c r="L20" i="17"/>
  <c r="L13" i="17"/>
  <c r="L21" i="17"/>
  <c r="N24" i="17"/>
  <c r="O24" i="17" s="1"/>
  <c r="N16" i="17"/>
  <c r="N14" i="17" s="1"/>
  <c r="O41" i="17"/>
  <c r="O135" i="17"/>
  <c r="I131" i="17"/>
  <c r="K131" i="17" s="1"/>
  <c r="K143" i="17"/>
  <c r="O249" i="17"/>
  <c r="L227" i="17"/>
  <c r="O279" i="17"/>
  <c r="L277" i="17"/>
  <c r="P26" i="17"/>
  <c r="M16" i="17"/>
  <c r="M20" i="17"/>
  <c r="O26" i="17"/>
  <c r="L16" i="17"/>
  <c r="L14" i="17" s="1"/>
  <c r="M24" i="17"/>
  <c r="L629" i="11"/>
  <c r="O629" i="11" s="1"/>
  <c r="O404" i="14"/>
  <c r="I65" i="14"/>
  <c r="K65" i="14" s="1"/>
  <c r="M149" i="14"/>
  <c r="P149" i="14" s="1"/>
  <c r="P301" i="16"/>
  <c r="O55" i="16"/>
  <c r="P26" i="16"/>
  <c r="O328" i="15"/>
  <c r="M41" i="15"/>
  <c r="P41" i="15" s="1"/>
  <c r="K288" i="16"/>
  <c r="P263" i="15"/>
  <c r="L298" i="9"/>
  <c r="O298" i="9" s="1"/>
  <c r="L31" i="12"/>
  <c r="O31" i="12" s="1"/>
  <c r="P132" i="11"/>
  <c r="O317" i="13"/>
  <c r="K559" i="14"/>
  <c r="N13" i="14"/>
  <c r="N11" i="14" s="1"/>
  <c r="P55" i="15"/>
  <c r="O41" i="15"/>
  <c r="N24" i="16"/>
  <c r="O330" i="16"/>
  <c r="O546" i="16"/>
  <c r="L544" i="16"/>
  <c r="O544" i="16" s="1"/>
  <c r="O152" i="12"/>
  <c r="O134" i="15"/>
  <c r="O134" i="10"/>
  <c r="I64" i="13"/>
  <c r="K64" i="13" s="1"/>
  <c r="P345" i="14"/>
  <c r="P347" i="14"/>
  <c r="O345" i="14"/>
  <c r="M315" i="15"/>
  <c r="P315" i="15" s="1"/>
  <c r="L261" i="16"/>
  <c r="O261" i="16" s="1"/>
  <c r="M20" i="16"/>
  <c r="M18" i="16" s="1"/>
  <c r="M13" i="16"/>
  <c r="M10" i="16" s="1"/>
  <c r="O469" i="16"/>
  <c r="L467" i="16"/>
  <c r="O467" i="16" s="1"/>
  <c r="P91" i="15"/>
  <c r="P167" i="16"/>
  <c r="N165" i="16"/>
  <c r="O165" i="16" s="1"/>
  <c r="L30" i="16"/>
  <c r="O30" i="16" s="1"/>
  <c r="L685" i="12"/>
  <c r="O685" i="12" s="1"/>
  <c r="P23" i="13"/>
  <c r="O183" i="13"/>
  <c r="O43" i="14"/>
  <c r="L132" i="14"/>
  <c r="O132" i="14" s="1"/>
  <c r="I418" i="15"/>
  <c r="K418" i="15" s="1"/>
  <c r="P331" i="16"/>
  <c r="L53" i="16"/>
  <c r="O53" i="16" s="1"/>
  <c r="P345" i="16"/>
  <c r="M119" i="16"/>
  <c r="P119" i="16" s="1"/>
  <c r="O347" i="16"/>
  <c r="P151" i="15"/>
  <c r="L685" i="16"/>
  <c r="O685" i="16" s="1"/>
  <c r="P134" i="10"/>
  <c r="L444" i="13"/>
  <c r="O444" i="13" s="1"/>
  <c r="P183" i="14"/>
  <c r="I226" i="15"/>
  <c r="K226" i="15" s="1"/>
  <c r="O279" i="14"/>
  <c r="K131" i="15"/>
  <c r="O345" i="16"/>
  <c r="I226" i="16"/>
  <c r="K226" i="16" s="1"/>
  <c r="L328" i="16"/>
  <c r="O328" i="16" s="1"/>
  <c r="I418" i="16"/>
  <c r="K418" i="16" s="1"/>
  <c r="K434" i="16"/>
  <c r="O404" i="12"/>
  <c r="K364" i="13"/>
  <c r="P330" i="14"/>
  <c r="P301" i="14"/>
  <c r="P59" i="14"/>
  <c r="O183" i="14"/>
  <c r="O43" i="15"/>
  <c r="N20" i="15"/>
  <c r="K143" i="15"/>
  <c r="O23" i="15"/>
  <c r="O167" i="16"/>
  <c r="P279" i="16"/>
  <c r="M277" i="16"/>
  <c r="P277" i="16" s="1"/>
  <c r="O629" i="16"/>
  <c r="N655" i="16"/>
  <c r="O655" i="16" s="1"/>
  <c r="O446" i="16"/>
  <c r="P300" i="16"/>
  <c r="M298" i="16"/>
  <c r="P317" i="16"/>
  <c r="M315" i="16"/>
  <c r="P315" i="16" s="1"/>
  <c r="O15" i="16"/>
  <c r="L9" i="16"/>
  <c r="P183" i="15"/>
  <c r="O183" i="15"/>
  <c r="O264" i="16"/>
  <c r="K559" i="16"/>
  <c r="P391" i="16"/>
  <c r="M389" i="16"/>
  <c r="P389" i="16" s="1"/>
  <c r="O29" i="16"/>
  <c r="P263" i="16"/>
  <c r="M261" i="16"/>
  <c r="P261" i="16" s="1"/>
  <c r="L16" i="16"/>
  <c r="O16" i="16" s="1"/>
  <c r="O26" i="16"/>
  <c r="L24" i="16"/>
  <c r="O23" i="16"/>
  <c r="L20" i="16"/>
  <c r="L13" i="16"/>
  <c r="L21" i="16"/>
  <c r="M14" i="16"/>
  <c r="P15" i="16"/>
  <c r="L41" i="16"/>
  <c r="O43" i="16"/>
  <c r="L444" i="16"/>
  <c r="O444" i="16" s="1"/>
  <c r="M414" i="16"/>
  <c r="P414" i="16" s="1"/>
  <c r="K543" i="16"/>
  <c r="O421" i="16"/>
  <c r="K174" i="16"/>
  <c r="I164" i="16"/>
  <c r="K164" i="16" s="1"/>
  <c r="N20" i="16"/>
  <c r="N18" i="16" s="1"/>
  <c r="N13" i="16"/>
  <c r="N21" i="16"/>
  <c r="P21" i="16" s="1"/>
  <c r="L227" i="16"/>
  <c r="L277" i="16"/>
  <c r="O277" i="16" s="1"/>
  <c r="O53" i="14"/>
  <c r="L20" i="15"/>
  <c r="L18" i="15" s="1"/>
  <c r="P261" i="15"/>
  <c r="L21" i="15"/>
  <c r="O21" i="15" s="1"/>
  <c r="O331" i="15"/>
  <c r="L419" i="16"/>
  <c r="M28" i="16"/>
  <c r="P28" i="16" s="1"/>
  <c r="P29" i="16"/>
  <c r="P134" i="16"/>
  <c r="M132" i="16"/>
  <c r="P132" i="16" s="1"/>
  <c r="K77" i="16"/>
  <c r="I65" i="16"/>
  <c r="K65" i="16" s="1"/>
  <c r="M9" i="16"/>
  <c r="N41" i="16"/>
  <c r="P23" i="16"/>
  <c r="N20" i="14"/>
  <c r="N18" i="14" s="1"/>
  <c r="O631" i="16"/>
  <c r="P330" i="16"/>
  <c r="M328" i="16"/>
  <c r="P328" i="16" s="1"/>
  <c r="L119" i="16"/>
  <c r="O119" i="16" s="1"/>
  <c r="P55" i="16"/>
  <c r="M53" i="16"/>
  <c r="P167" i="9"/>
  <c r="O263" i="9"/>
  <c r="O183" i="11"/>
  <c r="P347" i="12"/>
  <c r="M21" i="15"/>
  <c r="P21" i="15" s="1"/>
  <c r="P23" i="15"/>
  <c r="P263" i="9"/>
  <c r="P347" i="10"/>
  <c r="O687" i="13"/>
  <c r="M66" i="13"/>
  <c r="P66" i="13" s="1"/>
  <c r="O55" i="13"/>
  <c r="P347" i="13"/>
  <c r="M181" i="14"/>
  <c r="N181" i="14"/>
  <c r="O181" i="14" s="1"/>
  <c r="M345" i="15"/>
  <c r="P345" i="15" s="1"/>
  <c r="O151" i="15"/>
  <c r="L88" i="15"/>
  <c r="O88" i="15" s="1"/>
  <c r="O68" i="13"/>
  <c r="L119" i="13"/>
  <c r="O119" i="13" s="1"/>
  <c r="L277" i="14"/>
  <c r="O277" i="14" s="1"/>
  <c r="L685" i="15"/>
  <c r="O685" i="15" s="1"/>
  <c r="L181" i="15"/>
  <c r="O181" i="15" s="1"/>
  <c r="M20" i="15"/>
  <c r="O317" i="15"/>
  <c r="L315" i="15"/>
  <c r="O315" i="15" s="1"/>
  <c r="O168" i="13"/>
  <c r="P90" i="13"/>
  <c r="O90" i="13"/>
  <c r="M389" i="14"/>
  <c r="P389" i="14" s="1"/>
  <c r="O261" i="14"/>
  <c r="O36" i="15"/>
  <c r="L34" i="15"/>
  <c r="O34" i="15" s="1"/>
  <c r="O88" i="9"/>
  <c r="P88" i="9"/>
  <c r="O330" i="12"/>
  <c r="M16" i="12"/>
  <c r="M14" i="12" s="1"/>
  <c r="P43" i="13"/>
  <c r="L685" i="14"/>
  <c r="O685" i="14" s="1"/>
  <c r="O347" i="14"/>
  <c r="P279" i="14"/>
  <c r="O55" i="15"/>
  <c r="O279" i="15"/>
  <c r="L277" i="15"/>
  <c r="O277" i="15" s="1"/>
  <c r="M277" i="15"/>
  <c r="P277" i="15" s="1"/>
  <c r="P279" i="15"/>
  <c r="P134" i="15"/>
  <c r="O68" i="8"/>
  <c r="L523" i="9"/>
  <c r="O523" i="9" s="1"/>
  <c r="L261" i="9"/>
  <c r="O261" i="9" s="1"/>
  <c r="P328" i="12"/>
  <c r="K559" i="13"/>
  <c r="P21" i="14"/>
  <c r="M389" i="15"/>
  <c r="P389" i="15" s="1"/>
  <c r="P56" i="15"/>
  <c r="P404" i="15"/>
  <c r="M402" i="15"/>
  <c r="P402" i="15" s="1"/>
  <c r="O184" i="10"/>
  <c r="O280" i="14"/>
  <c r="O55" i="14"/>
  <c r="N53" i="15"/>
  <c r="O53" i="15" s="1"/>
  <c r="M119" i="15"/>
  <c r="O263" i="15"/>
  <c r="L261" i="15"/>
  <c r="O261" i="15" s="1"/>
  <c r="L298" i="15"/>
  <c r="O298" i="15" s="1"/>
  <c r="O300" i="15"/>
  <c r="O446" i="11"/>
  <c r="M315" i="14"/>
  <c r="P315" i="14" s="1"/>
  <c r="L467" i="14"/>
  <c r="O467" i="14" s="1"/>
  <c r="N132" i="15"/>
  <c r="O132" i="15" s="1"/>
  <c r="P300" i="15"/>
  <c r="P330" i="7"/>
  <c r="O90" i="9"/>
  <c r="L132" i="12"/>
  <c r="O132" i="12" s="1"/>
  <c r="L149" i="14"/>
  <c r="O149" i="14" s="1"/>
  <c r="M328" i="14"/>
  <c r="P328" i="14" s="1"/>
  <c r="L119" i="14"/>
  <c r="O119" i="14" s="1"/>
  <c r="P261" i="14"/>
  <c r="P68" i="15"/>
  <c r="O68" i="15"/>
  <c r="K288" i="15"/>
  <c r="N414" i="15"/>
  <c r="O469" i="15"/>
  <c r="L467" i="15"/>
  <c r="O467" i="15" s="1"/>
  <c r="I65" i="15"/>
  <c r="K65" i="15" s="1"/>
  <c r="K77" i="15"/>
  <c r="M16" i="15"/>
  <c r="M14" i="15" s="1"/>
  <c r="P26" i="15"/>
  <c r="P149" i="15"/>
  <c r="L24" i="15"/>
  <c r="L16" i="15"/>
  <c r="O26" i="15"/>
  <c r="O149" i="15"/>
  <c r="O33" i="15"/>
  <c r="L30" i="15"/>
  <c r="P19" i="15"/>
  <c r="N24" i="11"/>
  <c r="P24" i="11" s="1"/>
  <c r="M414" i="15"/>
  <c r="P414" i="15" s="1"/>
  <c r="P419" i="15"/>
  <c r="L419" i="15"/>
  <c r="O238" i="15"/>
  <c r="L227" i="15"/>
  <c r="P15" i="15"/>
  <c r="M9" i="15"/>
  <c r="M24" i="15"/>
  <c r="O9" i="15"/>
  <c r="L389" i="15"/>
  <c r="O389" i="15" s="1"/>
  <c r="N66" i="15"/>
  <c r="P300" i="12"/>
  <c r="O165" i="12"/>
  <c r="L345" i="15"/>
  <c r="O345" i="15" s="1"/>
  <c r="N24" i="15"/>
  <c r="N16" i="15"/>
  <c r="N14" i="15" s="1"/>
  <c r="L13" i="15"/>
  <c r="M132" i="12"/>
  <c r="P132" i="12" s="1"/>
  <c r="N345" i="13"/>
  <c r="P345" i="13" s="1"/>
  <c r="L402" i="13"/>
  <c r="O402" i="13" s="1"/>
  <c r="P41" i="13"/>
  <c r="O330" i="14"/>
  <c r="L629" i="13"/>
  <c r="O629" i="13" s="1"/>
  <c r="L34" i="13"/>
  <c r="O34" i="13" s="1"/>
  <c r="M389" i="13"/>
  <c r="P389" i="13" s="1"/>
  <c r="L227" i="14"/>
  <c r="N53" i="13"/>
  <c r="O53" i="13" s="1"/>
  <c r="M315" i="13"/>
  <c r="P315" i="13" s="1"/>
  <c r="P53" i="14"/>
  <c r="M315" i="9"/>
  <c r="P315" i="9" s="1"/>
  <c r="P125" i="9"/>
  <c r="O121" i="12"/>
  <c r="P152" i="12"/>
  <c r="P348" i="12"/>
  <c r="M389" i="12"/>
  <c r="P389" i="12" s="1"/>
  <c r="K237" i="13"/>
  <c r="L315" i="14"/>
  <c r="O315" i="14" s="1"/>
  <c r="P263" i="14"/>
  <c r="L30" i="14"/>
  <c r="O30" i="14" s="1"/>
  <c r="K237" i="14"/>
  <c r="I226" i="14"/>
  <c r="K226" i="14" s="1"/>
  <c r="O391" i="14"/>
  <c r="L389" i="14"/>
  <c r="O389" i="14" s="1"/>
  <c r="I543" i="8"/>
  <c r="K543" i="8" s="1"/>
  <c r="O134" i="13"/>
  <c r="I64" i="14"/>
  <c r="K64" i="14" s="1"/>
  <c r="O328" i="14"/>
  <c r="L685" i="11"/>
  <c r="O685" i="11" s="1"/>
  <c r="O347" i="12"/>
  <c r="I180" i="13"/>
  <c r="K180" i="13" s="1"/>
  <c r="P134" i="13"/>
  <c r="P55" i="14"/>
  <c r="O263" i="14"/>
  <c r="P44" i="14"/>
  <c r="P404" i="14"/>
  <c r="M402" i="14"/>
  <c r="P402" i="14" s="1"/>
  <c r="L31" i="14"/>
  <c r="O31" i="14" s="1"/>
  <c r="O68" i="11"/>
  <c r="L132" i="11"/>
  <c r="O132" i="11" s="1"/>
  <c r="M165" i="13"/>
  <c r="P165" i="13" s="1"/>
  <c r="P330" i="12"/>
  <c r="L165" i="13"/>
  <c r="O165" i="13" s="1"/>
  <c r="L655" i="14"/>
  <c r="O655" i="14" s="1"/>
  <c r="O657" i="14"/>
  <c r="O132" i="13"/>
  <c r="P132" i="13"/>
  <c r="O88" i="14"/>
  <c r="P88" i="14"/>
  <c r="O15" i="14"/>
  <c r="L419" i="14"/>
  <c r="L21" i="14"/>
  <c r="O21" i="14" s="1"/>
  <c r="O23" i="14"/>
  <c r="L20" i="14"/>
  <c r="L13" i="14"/>
  <c r="O301" i="14"/>
  <c r="N41" i="14"/>
  <c r="O41" i="14" s="1"/>
  <c r="P41" i="12"/>
  <c r="O446" i="14"/>
  <c r="L444" i="14"/>
  <c r="O444" i="14" s="1"/>
  <c r="O9" i="14"/>
  <c r="N165" i="14"/>
  <c r="O165" i="14" s="1"/>
  <c r="P167" i="14"/>
  <c r="O167" i="14"/>
  <c r="P26" i="14"/>
  <c r="M16" i="14"/>
  <c r="K433" i="14"/>
  <c r="O26" i="14"/>
  <c r="L16" i="14"/>
  <c r="L14" i="14" s="1"/>
  <c r="I131" i="14"/>
  <c r="K131" i="14" s="1"/>
  <c r="K143" i="14"/>
  <c r="O300" i="14"/>
  <c r="L298" i="14"/>
  <c r="O298" i="14" s="1"/>
  <c r="O29" i="14"/>
  <c r="P68" i="14"/>
  <c r="M66" i="14"/>
  <c r="P12" i="14"/>
  <c r="M9" i="14"/>
  <c r="K174" i="14"/>
  <c r="I164" i="14"/>
  <c r="K164" i="14" s="1"/>
  <c r="O69" i="14"/>
  <c r="N16" i="14"/>
  <c r="N14" i="14" s="1"/>
  <c r="N24" i="14"/>
  <c r="O24" i="14" s="1"/>
  <c r="M24" i="14"/>
  <c r="O546" i="14"/>
  <c r="L544" i="14"/>
  <c r="O544" i="14" s="1"/>
  <c r="O631" i="14"/>
  <c r="L629" i="14"/>
  <c r="O629" i="14" s="1"/>
  <c r="P29" i="14"/>
  <c r="M28" i="14"/>
  <c r="P28" i="14" s="1"/>
  <c r="P134" i="14"/>
  <c r="M132" i="14"/>
  <c r="P132" i="14" s="1"/>
  <c r="P277" i="14"/>
  <c r="P90" i="14"/>
  <c r="O90" i="14"/>
  <c r="I418" i="12"/>
  <c r="K418" i="12" s="1"/>
  <c r="L181" i="13"/>
  <c r="O181" i="13" s="1"/>
  <c r="M414" i="14"/>
  <c r="P414" i="14" s="1"/>
  <c r="P23" i="14"/>
  <c r="M20" i="14"/>
  <c r="M13" i="14"/>
  <c r="P19" i="14"/>
  <c r="M41" i="14"/>
  <c r="P43" i="14"/>
  <c r="N66" i="14"/>
  <c r="O66" i="14" s="1"/>
  <c r="K433" i="11"/>
  <c r="P330" i="11"/>
  <c r="O91" i="13"/>
  <c r="M88" i="13"/>
  <c r="P88" i="13" s="1"/>
  <c r="N13" i="13"/>
  <c r="N10" i="13" s="1"/>
  <c r="L88" i="13"/>
  <c r="O88" i="13" s="1"/>
  <c r="M298" i="13"/>
  <c r="P298" i="13" s="1"/>
  <c r="P55" i="13"/>
  <c r="K288" i="11"/>
  <c r="J275" i="12"/>
  <c r="K275" i="12" s="1"/>
  <c r="L30" i="12"/>
  <c r="O30" i="12" s="1"/>
  <c r="L523" i="13"/>
  <c r="O523" i="13" s="1"/>
  <c r="M119" i="13"/>
  <c r="P119" i="13" s="1"/>
  <c r="M21" i="13"/>
  <c r="P21" i="13" s="1"/>
  <c r="P44" i="13"/>
  <c r="N20" i="13"/>
  <c r="N18" i="13" s="1"/>
  <c r="P168" i="9"/>
  <c r="L149" i="13"/>
  <c r="O149" i="13" s="1"/>
  <c r="O301" i="12"/>
  <c r="L655" i="13"/>
  <c r="O655" i="13" s="1"/>
  <c r="O657" i="13"/>
  <c r="L544" i="13"/>
  <c r="O544" i="13" s="1"/>
  <c r="O546" i="13"/>
  <c r="K77" i="13"/>
  <c r="I65" i="13"/>
  <c r="K65" i="13" s="1"/>
  <c r="M181" i="13"/>
  <c r="P181" i="13" s="1"/>
  <c r="P183" i="13"/>
  <c r="M315" i="12"/>
  <c r="P315" i="12" s="1"/>
  <c r="L419" i="13"/>
  <c r="O419" i="13" s="1"/>
  <c r="O280" i="13"/>
  <c r="N24" i="13"/>
  <c r="O24" i="13" s="1"/>
  <c r="M402" i="12"/>
  <c r="P402" i="12" s="1"/>
  <c r="P277" i="13"/>
  <c r="P261" i="13"/>
  <c r="L523" i="10"/>
  <c r="O523" i="10" s="1"/>
  <c r="P184" i="10"/>
  <c r="L402" i="10"/>
  <c r="O402" i="10" s="1"/>
  <c r="P263" i="12"/>
  <c r="P43" i="12"/>
  <c r="P279" i="13"/>
  <c r="O264" i="13"/>
  <c r="O263" i="13"/>
  <c r="L261" i="13"/>
  <c r="O261" i="13" s="1"/>
  <c r="M16" i="13"/>
  <c r="P26" i="13"/>
  <c r="M24" i="13"/>
  <c r="M20" i="13"/>
  <c r="L277" i="13"/>
  <c r="O277" i="13" s="1"/>
  <c r="O279" i="13"/>
  <c r="L629" i="10"/>
  <c r="O629" i="10" s="1"/>
  <c r="K433" i="13"/>
  <c r="I418" i="13"/>
  <c r="K418" i="13" s="1"/>
  <c r="K434" i="13"/>
  <c r="O347" i="13"/>
  <c r="L345" i="13"/>
  <c r="P330" i="13"/>
  <c r="L227" i="12"/>
  <c r="O469" i="13"/>
  <c r="P328" i="13"/>
  <c r="P12" i="13"/>
  <c r="M11" i="13"/>
  <c r="M9" i="13"/>
  <c r="O331" i="11"/>
  <c r="P183" i="12"/>
  <c r="O90" i="12"/>
  <c r="P181" i="11"/>
  <c r="P301" i="12"/>
  <c r="L20" i="13"/>
  <c r="L13" i="13"/>
  <c r="L21" i="13"/>
  <c r="O21" i="13" s="1"/>
  <c r="O23" i="13"/>
  <c r="K143" i="13"/>
  <c r="I131" i="13"/>
  <c r="K131" i="13" s="1"/>
  <c r="P151" i="13"/>
  <c r="M149" i="13"/>
  <c r="P149" i="13" s="1"/>
  <c r="P19" i="13"/>
  <c r="O347" i="9"/>
  <c r="O33" i="13"/>
  <c r="L30" i="13"/>
  <c r="O238" i="13"/>
  <c r="L227" i="13"/>
  <c r="O9" i="13"/>
  <c r="P263" i="13"/>
  <c r="L16" i="13"/>
  <c r="O26" i="13"/>
  <c r="M345" i="12"/>
  <c r="P345" i="12" s="1"/>
  <c r="O66" i="11"/>
  <c r="M414" i="13"/>
  <c r="P414" i="13" s="1"/>
  <c r="P419" i="13"/>
  <c r="L328" i="13"/>
  <c r="O328" i="13" s="1"/>
  <c r="O330" i="13"/>
  <c r="O300" i="13"/>
  <c r="L298" i="13"/>
  <c r="O298" i="13" s="1"/>
  <c r="P30" i="13"/>
  <c r="M28" i="13"/>
  <c r="P28" i="13" s="1"/>
  <c r="N9" i="13"/>
  <c r="O41" i="13"/>
  <c r="P91" i="9"/>
  <c r="O168" i="9"/>
  <c r="L16" i="10"/>
  <c r="L14" i="10" s="1"/>
  <c r="M389" i="10"/>
  <c r="P389" i="10" s="1"/>
  <c r="K417" i="11"/>
  <c r="P134" i="11"/>
  <c r="L467" i="12"/>
  <c r="O467" i="12" s="1"/>
  <c r="N13" i="12"/>
  <c r="N11" i="12" s="1"/>
  <c r="O261" i="10"/>
  <c r="L53" i="12"/>
  <c r="O53" i="12" s="1"/>
  <c r="O55" i="12"/>
  <c r="M389" i="11"/>
  <c r="P389" i="11" s="1"/>
  <c r="L181" i="11"/>
  <c r="O181" i="11" s="1"/>
  <c r="M181" i="12"/>
  <c r="P181" i="12" s="1"/>
  <c r="O657" i="12"/>
  <c r="P298" i="12"/>
  <c r="L119" i="10"/>
  <c r="O119" i="10" s="1"/>
  <c r="O90" i="11"/>
  <c r="K433" i="12"/>
  <c r="P56" i="12"/>
  <c r="O56" i="12"/>
  <c r="P90" i="12"/>
  <c r="O167" i="12"/>
  <c r="O41" i="10"/>
  <c r="P347" i="11"/>
  <c r="N14" i="12"/>
  <c r="L88" i="12"/>
  <c r="O88" i="12" s="1"/>
  <c r="P277" i="11"/>
  <c r="L389" i="12"/>
  <c r="O389" i="12" s="1"/>
  <c r="P351" i="9"/>
  <c r="M132" i="10"/>
  <c r="P132" i="10" s="1"/>
  <c r="P68" i="9"/>
  <c r="O546" i="11"/>
  <c r="K76" i="11"/>
  <c r="L655" i="10"/>
  <c r="O655" i="10" s="1"/>
  <c r="K364" i="11"/>
  <c r="P331" i="12"/>
  <c r="P21" i="12"/>
  <c r="K559" i="12"/>
  <c r="I543" i="12"/>
  <c r="K543" i="12" s="1"/>
  <c r="L685" i="9"/>
  <c r="O685" i="9" s="1"/>
  <c r="P90" i="9"/>
  <c r="O121" i="9"/>
  <c r="O546" i="10"/>
  <c r="O121" i="11"/>
  <c r="L34" i="11"/>
  <c r="O34" i="11" s="1"/>
  <c r="O300" i="11"/>
  <c r="L419" i="12"/>
  <c r="P151" i="12"/>
  <c r="M149" i="12"/>
  <c r="P149" i="12" s="1"/>
  <c r="O183" i="12"/>
  <c r="L181" i="12"/>
  <c r="O181" i="12" s="1"/>
  <c r="P12" i="12"/>
  <c r="M9" i="12"/>
  <c r="P26" i="12"/>
  <c r="O26" i="12"/>
  <c r="L16" i="12"/>
  <c r="O16" i="12" s="1"/>
  <c r="L24" i="12"/>
  <c r="P69" i="12"/>
  <c r="L315" i="9"/>
  <c r="O315" i="9" s="1"/>
  <c r="O55" i="11"/>
  <c r="I164" i="11"/>
  <c r="K164" i="11" s="1"/>
  <c r="O165" i="11"/>
  <c r="N345" i="11"/>
  <c r="P345" i="11" s="1"/>
  <c r="P183" i="11"/>
  <c r="O279" i="12"/>
  <c r="N277" i="12"/>
  <c r="O277" i="12" s="1"/>
  <c r="K76" i="12"/>
  <c r="I64" i="12"/>
  <c r="K64" i="12" s="1"/>
  <c r="L149" i="12"/>
  <c r="O149" i="12" s="1"/>
  <c r="O151" i="12"/>
  <c r="P167" i="12"/>
  <c r="M165" i="12"/>
  <c r="P165" i="12" s="1"/>
  <c r="M414" i="12"/>
  <c r="P414" i="12" s="1"/>
  <c r="O23" i="12"/>
  <c r="L20" i="12"/>
  <c r="L13" i="12"/>
  <c r="L21" i="12"/>
  <c r="O21" i="12" s="1"/>
  <c r="N9" i="12"/>
  <c r="N24" i="12"/>
  <c r="P24" i="12" s="1"/>
  <c r="O546" i="12"/>
  <c r="L544" i="12"/>
  <c r="O544" i="12" s="1"/>
  <c r="O446" i="12"/>
  <c r="L444" i="12"/>
  <c r="O444" i="12" s="1"/>
  <c r="P264" i="12"/>
  <c r="O264" i="12"/>
  <c r="O43" i="12"/>
  <c r="L41" i="12"/>
  <c r="O9" i="12"/>
  <c r="P121" i="12"/>
  <c r="M119" i="12"/>
  <c r="P119" i="12" s="1"/>
  <c r="P68" i="12"/>
  <c r="N66" i="12"/>
  <c r="P66" i="12" s="1"/>
  <c r="J275" i="6"/>
  <c r="K275" i="6" s="1"/>
  <c r="L444" i="10"/>
  <c r="O444" i="10" s="1"/>
  <c r="K143" i="10"/>
  <c r="O263" i="11"/>
  <c r="O470" i="12"/>
  <c r="O261" i="12"/>
  <c r="O263" i="12"/>
  <c r="O29" i="12"/>
  <c r="M53" i="12"/>
  <c r="L523" i="12"/>
  <c r="O523" i="12" s="1"/>
  <c r="O525" i="12"/>
  <c r="P279" i="12"/>
  <c r="M277" i="12"/>
  <c r="J364" i="12"/>
  <c r="K364" i="12" s="1"/>
  <c r="K365" i="12"/>
  <c r="K77" i="12"/>
  <c r="I65" i="12"/>
  <c r="K65" i="12" s="1"/>
  <c r="O68" i="12"/>
  <c r="L66" i="12"/>
  <c r="P19" i="12"/>
  <c r="O631" i="12"/>
  <c r="L629" i="12"/>
  <c r="O629" i="12" s="1"/>
  <c r="O300" i="12"/>
  <c r="L298" i="12"/>
  <c r="O298" i="12" s="1"/>
  <c r="K237" i="12"/>
  <c r="I226" i="12"/>
  <c r="K226" i="12" s="1"/>
  <c r="O15" i="12"/>
  <c r="P15" i="12"/>
  <c r="M20" i="12"/>
  <c r="P23" i="12"/>
  <c r="M13" i="12"/>
  <c r="M11" i="12" s="1"/>
  <c r="N20" i="12"/>
  <c r="N18" i="12" s="1"/>
  <c r="O279" i="10"/>
  <c r="P165" i="11"/>
  <c r="O330" i="11"/>
  <c r="N328" i="11"/>
  <c r="P328" i="11" s="1"/>
  <c r="P279" i="11"/>
  <c r="L20" i="11"/>
  <c r="L18" i="11" s="1"/>
  <c r="M315" i="11"/>
  <c r="P315" i="11" s="1"/>
  <c r="P298" i="11"/>
  <c r="O91" i="10"/>
  <c r="I418" i="9"/>
  <c r="K418" i="9" s="1"/>
  <c r="O68" i="10"/>
  <c r="L402" i="11"/>
  <c r="O402" i="11" s="1"/>
  <c r="L149" i="11"/>
  <c r="O149" i="11" s="1"/>
  <c r="L13" i="11"/>
  <c r="L11" i="11" s="1"/>
  <c r="K131" i="10"/>
  <c r="O134" i="9"/>
  <c r="L21" i="11"/>
  <c r="O21" i="11" s="1"/>
  <c r="P21" i="11"/>
  <c r="L53" i="11"/>
  <c r="O53" i="11" s="1"/>
  <c r="L389" i="11"/>
  <c r="O389" i="11" s="1"/>
  <c r="O391" i="11"/>
  <c r="L315" i="10"/>
  <c r="O315" i="10" s="1"/>
  <c r="P301" i="10"/>
  <c r="O348" i="11"/>
  <c r="L345" i="11"/>
  <c r="O347" i="11"/>
  <c r="P280" i="11"/>
  <c r="L419" i="11"/>
  <c r="O419" i="11" s="1"/>
  <c r="O421" i="11"/>
  <c r="O279" i="11"/>
  <c r="L277" i="11"/>
  <c r="O277" i="11" s="1"/>
  <c r="P55" i="11"/>
  <c r="M53" i="11"/>
  <c r="P53" i="11" s="1"/>
  <c r="P167" i="11"/>
  <c r="N66" i="9"/>
  <c r="O66" i="9" s="1"/>
  <c r="K364" i="10"/>
  <c r="O330" i="10"/>
  <c r="O165" i="10"/>
  <c r="P330" i="10"/>
  <c r="P300" i="11"/>
  <c r="N20" i="11"/>
  <c r="N18" i="11" s="1"/>
  <c r="L88" i="11"/>
  <c r="O88" i="11" s="1"/>
  <c r="M41" i="11"/>
  <c r="P41" i="11" s="1"/>
  <c r="P43" i="11"/>
  <c r="P167" i="10"/>
  <c r="O167" i="10"/>
  <c r="O43" i="11"/>
  <c r="N13" i="11"/>
  <c r="N10" i="11" s="1"/>
  <c r="P68" i="11"/>
  <c r="M66" i="11"/>
  <c r="P66" i="11" s="1"/>
  <c r="O167" i="11"/>
  <c r="O317" i="11"/>
  <c r="L315" i="11"/>
  <c r="O315" i="11" s="1"/>
  <c r="O88" i="10"/>
  <c r="O55" i="10"/>
  <c r="O44" i="10"/>
  <c r="O56" i="11"/>
  <c r="L261" i="11"/>
  <c r="O261" i="11" s="1"/>
  <c r="L655" i="11"/>
  <c r="O655" i="11" s="1"/>
  <c r="O657" i="11"/>
  <c r="M21" i="9"/>
  <c r="P21" i="9" s="1"/>
  <c r="O68" i="9"/>
  <c r="P55" i="9"/>
  <c r="O347" i="10"/>
  <c r="O544" i="11"/>
  <c r="O298" i="11"/>
  <c r="O23" i="11"/>
  <c r="N414" i="11"/>
  <c r="I543" i="2"/>
  <c r="K543" i="2" s="1"/>
  <c r="O298" i="10"/>
  <c r="K237" i="11"/>
  <c r="I226" i="11"/>
  <c r="K226" i="11" s="1"/>
  <c r="O469" i="11"/>
  <c r="L467" i="11"/>
  <c r="N9" i="11"/>
  <c r="O263" i="7"/>
  <c r="K434" i="11"/>
  <c r="I418" i="11"/>
  <c r="K418" i="11" s="1"/>
  <c r="P263" i="11"/>
  <c r="M261" i="11"/>
  <c r="P261" i="11" s="1"/>
  <c r="M28" i="11"/>
  <c r="P28" i="11" s="1"/>
  <c r="P29" i="11"/>
  <c r="N28" i="11"/>
  <c r="N14" i="11"/>
  <c r="O183" i="3"/>
  <c r="O19" i="11"/>
  <c r="P121" i="11"/>
  <c r="M119" i="11"/>
  <c r="P119" i="11" s="1"/>
  <c r="P151" i="11"/>
  <c r="M149" i="11"/>
  <c r="P149" i="11" s="1"/>
  <c r="L119" i="11"/>
  <c r="O119" i="11" s="1"/>
  <c r="M544" i="11"/>
  <c r="P544" i="11" s="1"/>
  <c r="P545" i="11"/>
  <c r="O12" i="11"/>
  <c r="L9" i="11"/>
  <c r="K143" i="11"/>
  <c r="I131" i="11"/>
  <c r="K131" i="11" s="1"/>
  <c r="I65" i="11"/>
  <c r="K65" i="11" s="1"/>
  <c r="K77" i="11"/>
  <c r="O138" i="9"/>
  <c r="O525" i="11"/>
  <c r="L523" i="11"/>
  <c r="O523" i="11" s="1"/>
  <c r="P23" i="11"/>
  <c r="M20" i="11"/>
  <c r="M13" i="11"/>
  <c r="L227" i="11"/>
  <c r="P9" i="11"/>
  <c r="P167" i="8"/>
  <c r="O279" i="8"/>
  <c r="O43" i="9"/>
  <c r="L419" i="10"/>
  <c r="O419" i="10" s="1"/>
  <c r="O43" i="10"/>
  <c r="O345" i="10"/>
  <c r="O263" i="10"/>
  <c r="O444" i="11"/>
  <c r="L328" i="11"/>
  <c r="P26" i="11"/>
  <c r="M16" i="11"/>
  <c r="M88" i="11"/>
  <c r="P90" i="11"/>
  <c r="L31" i="11"/>
  <c r="O31" i="11" s="1"/>
  <c r="O33" i="11"/>
  <c r="L30" i="11"/>
  <c r="O26" i="11"/>
  <c r="L24" i="11"/>
  <c r="L16" i="11"/>
  <c r="O657" i="9"/>
  <c r="L655" i="9"/>
  <c r="O655" i="9" s="1"/>
  <c r="I418" i="7"/>
  <c r="K418" i="7" s="1"/>
  <c r="P331" i="8"/>
  <c r="K364" i="8"/>
  <c r="M277" i="9"/>
  <c r="P277" i="9" s="1"/>
  <c r="N53" i="9"/>
  <c r="P53" i="9" s="1"/>
  <c r="L402" i="9"/>
  <c r="O402" i="9" s="1"/>
  <c r="P88" i="10"/>
  <c r="P90" i="10"/>
  <c r="O90" i="10"/>
  <c r="M345" i="10"/>
  <c r="P345" i="10" s="1"/>
  <c r="P55" i="10"/>
  <c r="P279" i="8"/>
  <c r="M165" i="10"/>
  <c r="P165" i="10" s="1"/>
  <c r="P347" i="7"/>
  <c r="O347" i="7"/>
  <c r="N277" i="8"/>
  <c r="O277" i="8" s="1"/>
  <c r="P183" i="9"/>
  <c r="L277" i="9"/>
  <c r="O277" i="9" s="1"/>
  <c r="O135" i="10"/>
  <c r="K76" i="10"/>
  <c r="L53" i="10"/>
  <c r="O53" i="10" s="1"/>
  <c r="P317" i="6"/>
  <c r="O184" i="9"/>
  <c r="N345" i="9"/>
  <c r="O345" i="9" s="1"/>
  <c r="L328" i="10"/>
  <c r="O328" i="10" s="1"/>
  <c r="P330" i="9"/>
  <c r="P151" i="10"/>
  <c r="M149" i="10"/>
  <c r="P149" i="10" s="1"/>
  <c r="O167" i="9"/>
  <c r="P121" i="10"/>
  <c r="M119" i="10"/>
  <c r="P119" i="10" s="1"/>
  <c r="M16" i="10"/>
  <c r="M14" i="10" s="1"/>
  <c r="M24" i="10"/>
  <c r="P24" i="10" s="1"/>
  <c r="O33" i="10"/>
  <c r="L31" i="10"/>
  <c r="O31" i="10" s="1"/>
  <c r="L30" i="10"/>
  <c r="K433" i="10"/>
  <c r="J417" i="10"/>
  <c r="K417" i="10" s="1"/>
  <c r="O69" i="5"/>
  <c r="L402" i="8"/>
  <c r="O402" i="8" s="1"/>
  <c r="L34" i="9"/>
  <c r="O34" i="9" s="1"/>
  <c r="L685" i="10"/>
  <c r="O685" i="10" s="1"/>
  <c r="O300" i="10"/>
  <c r="L24" i="10"/>
  <c r="O24" i="10" s="1"/>
  <c r="O181" i="8"/>
  <c r="O132" i="9"/>
  <c r="P121" i="9"/>
  <c r="P404" i="10"/>
  <c r="M402" i="10"/>
  <c r="P402" i="10" s="1"/>
  <c r="O90" i="8"/>
  <c r="P263" i="8"/>
  <c r="P43" i="9"/>
  <c r="L66" i="10"/>
  <c r="O66" i="10" s="1"/>
  <c r="M41" i="10"/>
  <c r="P41" i="10" s="1"/>
  <c r="P43" i="10"/>
  <c r="I64" i="9"/>
  <c r="K64" i="9" s="1"/>
  <c r="O546" i="9"/>
  <c r="N328" i="9"/>
  <c r="O328" i="9" s="1"/>
  <c r="P119" i="9"/>
  <c r="O91" i="9"/>
  <c r="M328" i="10"/>
  <c r="P328" i="10" s="1"/>
  <c r="L132" i="10"/>
  <c r="O132" i="10" s="1"/>
  <c r="O9" i="10"/>
  <c r="K77" i="4"/>
  <c r="M20" i="9"/>
  <c r="M18" i="9" s="1"/>
  <c r="O317" i="6"/>
  <c r="P138" i="9"/>
  <c r="M315" i="10"/>
  <c r="P315" i="10" s="1"/>
  <c r="N20" i="10"/>
  <c r="N18" i="10" s="1"/>
  <c r="N13" i="10"/>
  <c r="N21" i="10"/>
  <c r="O21" i="10" s="1"/>
  <c r="P280" i="10"/>
  <c r="O68" i="7"/>
  <c r="P328" i="8"/>
  <c r="O469" i="10"/>
  <c r="L467" i="10"/>
  <c r="O467" i="10" s="1"/>
  <c r="M414" i="10"/>
  <c r="P414" i="10" s="1"/>
  <c r="O181" i="10"/>
  <c r="P15" i="10"/>
  <c r="P279" i="10"/>
  <c r="N277" i="10"/>
  <c r="O277" i="10" s="1"/>
  <c r="P300" i="10"/>
  <c r="M298" i="10"/>
  <c r="P298" i="10" s="1"/>
  <c r="K237" i="10"/>
  <c r="I226" i="10"/>
  <c r="K226" i="10" s="1"/>
  <c r="P181" i="10"/>
  <c r="P53" i="10"/>
  <c r="P9" i="10"/>
  <c r="K77" i="10"/>
  <c r="I65" i="10"/>
  <c r="K65" i="10" s="1"/>
  <c r="P23" i="10"/>
  <c r="M20" i="10"/>
  <c r="M13" i="10"/>
  <c r="I164" i="10"/>
  <c r="K164" i="10" s="1"/>
  <c r="K174" i="10"/>
  <c r="P263" i="10"/>
  <c r="M261" i="10"/>
  <c r="P261" i="10" s="1"/>
  <c r="P68" i="10"/>
  <c r="M66" i="10"/>
  <c r="P66" i="10" s="1"/>
  <c r="O151" i="10"/>
  <c r="L149" i="10"/>
  <c r="O149" i="10" s="1"/>
  <c r="M21" i="10"/>
  <c r="M261" i="9"/>
  <c r="P261" i="9" s="1"/>
  <c r="P29" i="10"/>
  <c r="M28" i="10"/>
  <c r="P28" i="10" s="1"/>
  <c r="O23" i="10"/>
  <c r="L20" i="10"/>
  <c r="L13" i="10"/>
  <c r="O238" i="10"/>
  <c r="L227" i="10"/>
  <c r="O15" i="10"/>
  <c r="N16" i="10"/>
  <c r="N14" i="10" s="1"/>
  <c r="P26" i="10"/>
  <c r="O26" i="10"/>
  <c r="O183" i="4"/>
  <c r="L419" i="5"/>
  <c r="O419" i="5" s="1"/>
  <c r="O544" i="6"/>
  <c r="O546" i="6"/>
  <c r="O55" i="6"/>
  <c r="O263" i="8"/>
  <c r="M298" i="9"/>
  <c r="P298" i="9" s="1"/>
  <c r="I65" i="9"/>
  <c r="K65" i="9" s="1"/>
  <c r="N13" i="9"/>
  <c r="P13" i="9" s="1"/>
  <c r="O183" i="9"/>
  <c r="K364" i="9"/>
  <c r="O68" i="5"/>
  <c r="O351" i="6"/>
  <c r="P151" i="7"/>
  <c r="M315" i="8"/>
  <c r="P315" i="8" s="1"/>
  <c r="L119" i="9"/>
  <c r="O119" i="9" s="1"/>
  <c r="P66" i="5"/>
  <c r="L315" i="6"/>
  <c r="O315" i="6" s="1"/>
  <c r="P184" i="8"/>
  <c r="M119" i="8"/>
  <c r="P119" i="8" s="1"/>
  <c r="M315" i="6"/>
  <c r="P315" i="6" s="1"/>
  <c r="P261" i="8"/>
  <c r="M165" i="9"/>
  <c r="P165" i="9" s="1"/>
  <c r="L389" i="2"/>
  <c r="O389" i="2" s="1"/>
  <c r="K77" i="6"/>
  <c r="K76" i="7"/>
  <c r="O167" i="8"/>
  <c r="N181" i="9"/>
  <c r="O181" i="9" s="1"/>
  <c r="L227" i="9"/>
  <c r="P23" i="9"/>
  <c r="L149" i="9"/>
  <c r="O149" i="9" s="1"/>
  <c r="P151" i="9"/>
  <c r="M149" i="9"/>
  <c r="P149" i="9" s="1"/>
  <c r="P404" i="9"/>
  <c r="M402" i="9"/>
  <c r="P402" i="9" s="1"/>
  <c r="P347" i="9"/>
  <c r="M345" i="9"/>
  <c r="K174" i="9"/>
  <c r="I164" i="9"/>
  <c r="K164" i="9" s="1"/>
  <c r="M389" i="9"/>
  <c r="P389" i="9" s="1"/>
  <c r="O330" i="9"/>
  <c r="P41" i="9"/>
  <c r="J669" i="1"/>
  <c r="K669" i="1" s="1"/>
  <c r="O167" i="5"/>
  <c r="P277" i="7"/>
  <c r="P330" i="8"/>
  <c r="O391" i="9"/>
  <c r="L389" i="9"/>
  <c r="O389" i="9" s="1"/>
  <c r="P134" i="9"/>
  <c r="M132" i="9"/>
  <c r="P132" i="9" s="1"/>
  <c r="L34" i="6"/>
  <c r="O34" i="6" s="1"/>
  <c r="L53" i="9"/>
  <c r="O55" i="9"/>
  <c r="M149" i="5"/>
  <c r="P149" i="5" s="1"/>
  <c r="K364" i="6"/>
  <c r="M13" i="8"/>
  <c r="M11" i="8" s="1"/>
  <c r="K417" i="9"/>
  <c r="O149" i="6"/>
  <c r="P134" i="6"/>
  <c r="L261" i="8"/>
  <c r="O261" i="8" s="1"/>
  <c r="K364" i="7"/>
  <c r="I131" i="9"/>
  <c r="K131" i="9" s="1"/>
  <c r="K143" i="9"/>
  <c r="L467" i="9"/>
  <c r="O467" i="9" s="1"/>
  <c r="L9" i="9"/>
  <c r="O12" i="9"/>
  <c r="O41" i="9"/>
  <c r="P263" i="7"/>
  <c r="O43" i="8"/>
  <c r="O446" i="9"/>
  <c r="L444" i="9"/>
  <c r="O444" i="9" s="1"/>
  <c r="O631" i="9"/>
  <c r="L629" i="9"/>
  <c r="O629" i="9" s="1"/>
  <c r="O421" i="9"/>
  <c r="L419" i="9"/>
  <c r="M16" i="9"/>
  <c r="M10" i="9" s="1"/>
  <c r="P26" i="9"/>
  <c r="N24" i="9"/>
  <c r="N16" i="9"/>
  <c r="N14" i="9" s="1"/>
  <c r="M11" i="9"/>
  <c r="M9" i="9"/>
  <c r="P12" i="9"/>
  <c r="O19" i="9"/>
  <c r="K237" i="9"/>
  <c r="I226" i="9"/>
  <c r="K226" i="9" s="1"/>
  <c r="K433" i="9"/>
  <c r="P19" i="9"/>
  <c r="M28" i="9"/>
  <c r="P28" i="9" s="1"/>
  <c r="O23" i="9"/>
  <c r="L20" i="9"/>
  <c r="L18" i="9" s="1"/>
  <c r="L13" i="9"/>
  <c r="L11" i="9" s="1"/>
  <c r="O33" i="9"/>
  <c r="L30" i="9"/>
  <c r="L31" i="9"/>
  <c r="O31" i="9" s="1"/>
  <c r="M24" i="9"/>
  <c r="P184" i="9"/>
  <c r="O15" i="9"/>
  <c r="N20" i="9"/>
  <c r="N18" i="9" s="1"/>
  <c r="O26" i="9"/>
  <c r="L16" i="9"/>
  <c r="L24" i="9"/>
  <c r="P345" i="8"/>
  <c r="M414" i="9"/>
  <c r="P414" i="9" s="1"/>
  <c r="L21" i="9"/>
  <c r="O21" i="9" s="1"/>
  <c r="O351" i="8"/>
  <c r="P21" i="8"/>
  <c r="L315" i="8"/>
  <c r="O315" i="8" s="1"/>
  <c r="O421" i="8"/>
  <c r="P168" i="8"/>
  <c r="M20" i="8"/>
  <c r="M18" i="8" s="1"/>
  <c r="K433" i="8"/>
  <c r="M132" i="8"/>
  <c r="P132" i="8" s="1"/>
  <c r="O657" i="8"/>
  <c r="L31" i="6"/>
  <c r="O31" i="6" s="1"/>
  <c r="K434" i="8"/>
  <c r="L41" i="8"/>
  <c r="O41" i="8" s="1"/>
  <c r="P331" i="7"/>
  <c r="O330" i="7"/>
  <c r="L544" i="7"/>
  <c r="O544" i="7" s="1"/>
  <c r="L34" i="7"/>
  <c r="O34" i="7" s="1"/>
  <c r="L88" i="8"/>
  <c r="O88" i="8" s="1"/>
  <c r="K417" i="8"/>
  <c r="O55" i="8"/>
  <c r="K417" i="7"/>
  <c r="N261" i="7"/>
  <c r="O261" i="7" s="1"/>
  <c r="M66" i="7"/>
  <c r="P66" i="7" s="1"/>
  <c r="P23" i="7"/>
  <c r="P151" i="8"/>
  <c r="I164" i="8"/>
  <c r="K164" i="8" s="1"/>
  <c r="M88" i="8"/>
  <c r="P88" i="8" s="1"/>
  <c r="P90" i="8"/>
  <c r="L149" i="5"/>
  <c r="O149" i="5" s="1"/>
  <c r="N149" i="8"/>
  <c r="P149" i="8" s="1"/>
  <c r="M402" i="3"/>
  <c r="P402" i="3" s="1"/>
  <c r="I418" i="4"/>
  <c r="K418" i="4" s="1"/>
  <c r="P88" i="6"/>
  <c r="N20" i="6"/>
  <c r="N18" i="6" s="1"/>
  <c r="O657" i="6"/>
  <c r="P167" i="7"/>
  <c r="O90" i="7"/>
  <c r="O328" i="7"/>
  <c r="P183" i="8"/>
  <c r="O183" i="8"/>
  <c r="M277" i="8"/>
  <c r="P43" i="8"/>
  <c r="O469" i="6"/>
  <c r="L132" i="5"/>
  <c r="O132" i="5" s="1"/>
  <c r="O183" i="6"/>
  <c r="I418" i="6"/>
  <c r="K418" i="6" s="1"/>
  <c r="O149" i="7"/>
  <c r="O33" i="7"/>
  <c r="N66" i="8"/>
  <c r="O66" i="8" s="1"/>
  <c r="P165" i="8"/>
  <c r="O134" i="8"/>
  <c r="L132" i="8"/>
  <c r="O132" i="8" s="1"/>
  <c r="M402" i="8"/>
  <c r="P402" i="8" s="1"/>
  <c r="P404" i="8"/>
  <c r="L685" i="4"/>
  <c r="O685" i="4" s="1"/>
  <c r="P263" i="5"/>
  <c r="P279" i="5"/>
  <c r="L345" i="7"/>
  <c r="O345" i="7" s="1"/>
  <c r="P328" i="7"/>
  <c r="L544" i="8"/>
  <c r="O544" i="8" s="1"/>
  <c r="O546" i="8"/>
  <c r="K76" i="8"/>
  <c r="I64" i="8"/>
  <c r="K64" i="8" s="1"/>
  <c r="M389" i="8"/>
  <c r="P389" i="8" s="1"/>
  <c r="P391" i="8"/>
  <c r="P347" i="8"/>
  <c r="P348" i="7"/>
  <c r="P90" i="7"/>
  <c r="K275" i="7"/>
  <c r="P165" i="7"/>
  <c r="O165" i="8"/>
  <c r="O151" i="8"/>
  <c r="P88" i="7"/>
  <c r="O279" i="2"/>
  <c r="K364" i="5"/>
  <c r="N21" i="6"/>
  <c r="P21" i="6" s="1"/>
  <c r="P184" i="7"/>
  <c r="L30" i="7"/>
  <c r="L28" i="7" s="1"/>
  <c r="O28" i="7" s="1"/>
  <c r="N13" i="7"/>
  <c r="N11" i="7" s="1"/>
  <c r="O43" i="7"/>
  <c r="L298" i="7"/>
  <c r="O298" i="7" s="1"/>
  <c r="M21" i="7"/>
  <c r="P21" i="7" s="1"/>
  <c r="N20" i="8"/>
  <c r="N18" i="8" s="1"/>
  <c r="N13" i="8"/>
  <c r="N10" i="8" s="1"/>
  <c r="P55" i="8"/>
  <c r="O33" i="8"/>
  <c r="L30" i="8"/>
  <c r="O30" i="8" s="1"/>
  <c r="M16" i="8"/>
  <c r="P16" i="8" s="1"/>
  <c r="P26" i="8"/>
  <c r="M24" i="8"/>
  <c r="P23" i="8"/>
  <c r="O121" i="8"/>
  <c r="L119" i="8"/>
  <c r="O119" i="8" s="1"/>
  <c r="N24" i="8"/>
  <c r="O167" i="6"/>
  <c r="L389" i="6"/>
  <c r="O389" i="6" s="1"/>
  <c r="L315" i="7"/>
  <c r="O315" i="7" s="1"/>
  <c r="O151" i="7"/>
  <c r="O391" i="8"/>
  <c r="L389" i="8"/>
  <c r="O389" i="8" s="1"/>
  <c r="P15" i="8"/>
  <c r="O330" i="8"/>
  <c r="L328" i="8"/>
  <c r="O328" i="8" s="1"/>
  <c r="L298" i="8"/>
  <c r="O298" i="8" s="1"/>
  <c r="O19" i="8"/>
  <c r="O23" i="8"/>
  <c r="L20" i="8"/>
  <c r="O20" i="8" s="1"/>
  <c r="L13" i="8"/>
  <c r="L11" i="8" s="1"/>
  <c r="P279" i="2"/>
  <c r="M132" i="5"/>
  <c r="P132" i="5" s="1"/>
  <c r="M345" i="7"/>
  <c r="P345" i="7" s="1"/>
  <c r="O469" i="8"/>
  <c r="L467" i="8"/>
  <c r="O467" i="8" s="1"/>
  <c r="M9" i="8"/>
  <c r="O331" i="8"/>
  <c r="N53" i="8"/>
  <c r="O53" i="8" s="1"/>
  <c r="P41" i="8"/>
  <c r="K76" i="5"/>
  <c r="O134" i="6"/>
  <c r="K288" i="8"/>
  <c r="L16" i="8"/>
  <c r="O26" i="8"/>
  <c r="L24" i="8"/>
  <c r="O348" i="8"/>
  <c r="M298" i="8"/>
  <c r="P298" i="8" s="1"/>
  <c r="P300" i="8"/>
  <c r="M28" i="8"/>
  <c r="P28" i="8" s="1"/>
  <c r="P29" i="8"/>
  <c r="O29" i="8"/>
  <c r="N9" i="8"/>
  <c r="P348" i="6"/>
  <c r="O318" i="6"/>
  <c r="L523" i="6"/>
  <c r="O523" i="6" s="1"/>
  <c r="L132" i="6"/>
  <c r="O132" i="6" s="1"/>
  <c r="M13" i="6"/>
  <c r="M11" i="6" s="1"/>
  <c r="P11" i="6" s="1"/>
  <c r="L389" i="7"/>
  <c r="O389" i="7" s="1"/>
  <c r="P279" i="7"/>
  <c r="L523" i="8"/>
  <c r="O523" i="8" s="1"/>
  <c r="O36" i="8"/>
  <c r="L34" i="8"/>
  <c r="O34" i="8" s="1"/>
  <c r="P68" i="8"/>
  <c r="O631" i="8"/>
  <c r="L629" i="8"/>
  <c r="O629" i="8" s="1"/>
  <c r="O347" i="8"/>
  <c r="L345" i="8"/>
  <c r="O345" i="8" s="1"/>
  <c r="O238" i="8"/>
  <c r="L227" i="8"/>
  <c r="O12" i="8"/>
  <c r="L9" i="8"/>
  <c r="M181" i="8"/>
  <c r="P181" i="8" s="1"/>
  <c r="L21" i="8"/>
  <c r="O21" i="8" s="1"/>
  <c r="L31" i="8"/>
  <c r="O31" i="8" s="1"/>
  <c r="K237" i="8"/>
  <c r="I226" i="8"/>
  <c r="K226" i="8" s="1"/>
  <c r="O446" i="8"/>
  <c r="L444" i="8"/>
  <c r="O444" i="8" s="1"/>
  <c r="O419" i="8"/>
  <c r="M414" i="8"/>
  <c r="P414" i="8" s="1"/>
  <c r="K77" i="8"/>
  <c r="I65" i="8"/>
  <c r="K65" i="8" s="1"/>
  <c r="L523" i="4"/>
  <c r="O523" i="4" s="1"/>
  <c r="P331" i="6"/>
  <c r="N16" i="6"/>
  <c r="N10" i="6" s="1"/>
  <c r="N8" i="6" s="1"/>
  <c r="M149" i="7"/>
  <c r="P149" i="7" s="1"/>
  <c r="O134" i="7"/>
  <c r="N20" i="7"/>
  <c r="N18" i="7" s="1"/>
  <c r="M24" i="7"/>
  <c r="O165" i="7"/>
  <c r="O184" i="7"/>
  <c r="O167" i="7"/>
  <c r="O300" i="3"/>
  <c r="L685" i="7"/>
  <c r="O685" i="7" s="1"/>
  <c r="L88" i="7"/>
  <c r="O88" i="7" s="1"/>
  <c r="M13" i="7"/>
  <c r="M11" i="7" s="1"/>
  <c r="P183" i="7"/>
  <c r="P404" i="7"/>
  <c r="M402" i="7"/>
  <c r="P402" i="7" s="1"/>
  <c r="L467" i="7"/>
  <c r="O467" i="7" s="1"/>
  <c r="P121" i="7"/>
  <c r="M119" i="7"/>
  <c r="P119" i="7" s="1"/>
  <c r="O263" i="5"/>
  <c r="P53" i="5"/>
  <c r="O44" i="6"/>
  <c r="O181" i="7"/>
  <c r="M20" i="7"/>
  <c r="M18" i="7" s="1"/>
  <c r="P55" i="5"/>
  <c r="O41" i="6"/>
  <c r="M389" i="7"/>
  <c r="P389" i="7" s="1"/>
  <c r="M181" i="7"/>
  <c r="P181" i="7" s="1"/>
  <c r="P300" i="3"/>
  <c r="O331" i="6"/>
  <c r="O183" i="7"/>
  <c r="L402" i="7"/>
  <c r="O402" i="7" s="1"/>
  <c r="O404" i="7"/>
  <c r="P300" i="7"/>
  <c r="M298" i="7"/>
  <c r="P298" i="7" s="1"/>
  <c r="K77" i="7"/>
  <c r="I65" i="7"/>
  <c r="K65" i="7" s="1"/>
  <c r="P345" i="4"/>
  <c r="O55" i="5"/>
  <c r="P134" i="7"/>
  <c r="M132" i="7"/>
  <c r="P132" i="7" s="1"/>
  <c r="P43" i="7"/>
  <c r="M41" i="7"/>
  <c r="P41" i="7" s="1"/>
  <c r="O121" i="7"/>
  <c r="L119" i="7"/>
  <c r="O119" i="7" s="1"/>
  <c r="L444" i="6"/>
  <c r="O444" i="6" s="1"/>
  <c r="P330" i="6"/>
  <c r="N414" i="7"/>
  <c r="O631" i="7"/>
  <c r="O152" i="7"/>
  <c r="O23" i="7"/>
  <c r="L20" i="7"/>
  <c r="L13" i="7"/>
  <c r="O419" i="7"/>
  <c r="O525" i="7"/>
  <c r="L523" i="7"/>
  <c r="O523" i="7" s="1"/>
  <c r="P9" i="7"/>
  <c r="N24" i="7"/>
  <c r="N16" i="7"/>
  <c r="P56" i="7"/>
  <c r="O56" i="7"/>
  <c r="P26" i="7"/>
  <c r="O279" i="7"/>
  <c r="L277" i="7"/>
  <c r="O277" i="7" s="1"/>
  <c r="M414" i="7"/>
  <c r="P414" i="7" s="1"/>
  <c r="M14" i="7"/>
  <c r="P15" i="7"/>
  <c r="K237" i="7"/>
  <c r="I226" i="7"/>
  <c r="K226" i="7" s="1"/>
  <c r="O421" i="7"/>
  <c r="O26" i="7"/>
  <c r="L16" i="7"/>
  <c r="L24" i="7"/>
  <c r="P55" i="7"/>
  <c r="O55" i="7"/>
  <c r="L227" i="7"/>
  <c r="O41" i="7"/>
  <c r="L9" i="7"/>
  <c r="O12" i="7"/>
  <c r="N53" i="7"/>
  <c r="P19" i="7"/>
  <c r="O59" i="7"/>
  <c r="L444" i="7"/>
  <c r="O444" i="7" s="1"/>
  <c r="K433" i="7"/>
  <c r="O19" i="7"/>
  <c r="L21" i="7"/>
  <c r="O21" i="7" s="1"/>
  <c r="P351" i="4"/>
  <c r="O331" i="5"/>
  <c r="L165" i="5"/>
  <c r="O165" i="5" s="1"/>
  <c r="K537" i="6"/>
  <c r="L66" i="6"/>
  <c r="O66" i="6" s="1"/>
  <c r="K143" i="6"/>
  <c r="L30" i="6"/>
  <c r="P149" i="6"/>
  <c r="P24" i="6"/>
  <c r="O24" i="6"/>
  <c r="O43" i="6"/>
  <c r="P330" i="5"/>
  <c r="L402" i="5"/>
  <c r="O402" i="5" s="1"/>
  <c r="O36" i="5"/>
  <c r="O43" i="5"/>
  <c r="L685" i="6"/>
  <c r="O685" i="6" s="1"/>
  <c r="P167" i="6"/>
  <c r="P23" i="6"/>
  <c r="P300" i="5"/>
  <c r="L389" i="4"/>
  <c r="O389" i="4" s="1"/>
  <c r="L629" i="5"/>
  <c r="O629" i="5" s="1"/>
  <c r="O183" i="5"/>
  <c r="M315" i="5"/>
  <c r="P315" i="5" s="1"/>
  <c r="K434" i="5"/>
  <c r="N345" i="6"/>
  <c r="P345" i="6" s="1"/>
  <c r="L227" i="6"/>
  <c r="L16" i="6"/>
  <c r="M277" i="6"/>
  <c r="P277" i="6" s="1"/>
  <c r="P279" i="6"/>
  <c r="P351" i="6"/>
  <c r="N165" i="6"/>
  <c r="P165" i="6" s="1"/>
  <c r="L181" i="6"/>
  <c r="O181" i="6" s="1"/>
  <c r="K131" i="6"/>
  <c r="O91" i="2"/>
  <c r="M261" i="5"/>
  <c r="P261" i="5" s="1"/>
  <c r="O347" i="5"/>
  <c r="O183" i="2"/>
  <c r="M119" i="4"/>
  <c r="P119" i="4" s="1"/>
  <c r="L523" i="5"/>
  <c r="O523" i="5" s="1"/>
  <c r="L227" i="5"/>
  <c r="M132" i="6"/>
  <c r="P132" i="6" s="1"/>
  <c r="O26" i="6"/>
  <c r="L277" i="6"/>
  <c r="O277" i="6" s="1"/>
  <c r="O279" i="6"/>
  <c r="P91" i="2"/>
  <c r="O347" i="3"/>
  <c r="M24" i="4"/>
  <c r="O300" i="5"/>
  <c r="L685" i="5"/>
  <c r="O685" i="5" s="1"/>
  <c r="P68" i="5"/>
  <c r="K433" i="6"/>
  <c r="I417" i="6"/>
  <c r="K417" i="6" s="1"/>
  <c r="O631" i="6"/>
  <c r="O330" i="6"/>
  <c r="N328" i="6"/>
  <c r="O328" i="6" s="1"/>
  <c r="O12" i="6"/>
  <c r="L9" i="6"/>
  <c r="P183" i="6"/>
  <c r="M181" i="6"/>
  <c r="P181" i="6" s="1"/>
  <c r="O168" i="6"/>
  <c r="M28" i="6"/>
  <c r="P28" i="6" s="1"/>
  <c r="P29" i="6"/>
  <c r="N53" i="6"/>
  <c r="P53" i="6" s="1"/>
  <c r="P55" i="6"/>
  <c r="P19" i="6"/>
  <c r="M414" i="6"/>
  <c r="P414" i="6" s="1"/>
  <c r="P419" i="6"/>
  <c r="O421" i="6"/>
  <c r="L419" i="6"/>
  <c r="K237" i="6"/>
  <c r="I226" i="6"/>
  <c r="N261" i="6"/>
  <c r="P263" i="6"/>
  <c r="O263" i="6"/>
  <c r="O19" i="6"/>
  <c r="O263" i="3"/>
  <c r="L444" i="4"/>
  <c r="O444" i="4" s="1"/>
  <c r="O263" i="4"/>
  <c r="O470" i="6"/>
  <c r="P404" i="6"/>
  <c r="M402" i="6"/>
  <c r="P402" i="6" s="1"/>
  <c r="N414" i="6"/>
  <c r="P347" i="6"/>
  <c r="P68" i="6"/>
  <c r="M66" i="6"/>
  <c r="P66" i="6" s="1"/>
  <c r="M20" i="6"/>
  <c r="O90" i="6"/>
  <c r="P391" i="6"/>
  <c r="M389" i="6"/>
  <c r="P389" i="6" s="1"/>
  <c r="O121" i="6"/>
  <c r="P121" i="6"/>
  <c r="N119" i="6"/>
  <c r="P15" i="6"/>
  <c r="M9" i="6"/>
  <c r="O88" i="6"/>
  <c r="K364" i="4"/>
  <c r="L629" i="6"/>
  <c r="O629" i="6" s="1"/>
  <c r="L402" i="6"/>
  <c r="O402" i="6" s="1"/>
  <c r="N298" i="6"/>
  <c r="P300" i="6"/>
  <c r="O300" i="6"/>
  <c r="P151" i="6"/>
  <c r="O151" i="6"/>
  <c r="P43" i="6"/>
  <c r="M41" i="6"/>
  <c r="O91" i="6"/>
  <c r="O90" i="5"/>
  <c r="P90" i="6"/>
  <c r="M328" i="6"/>
  <c r="P26" i="6"/>
  <c r="M16" i="6"/>
  <c r="O23" i="6"/>
  <c r="L20" i="6"/>
  <c r="L13" i="6"/>
  <c r="I64" i="6"/>
  <c r="K64" i="6" s="1"/>
  <c r="K76" i="6"/>
  <c r="P167" i="3"/>
  <c r="M66" i="4"/>
  <c r="P66" i="4" s="1"/>
  <c r="L655" i="5"/>
  <c r="O655" i="5" s="1"/>
  <c r="L41" i="5"/>
  <c r="O41" i="5" s="1"/>
  <c r="N88" i="5"/>
  <c r="O88" i="5" s="1"/>
  <c r="N328" i="5"/>
  <c r="P328" i="5" s="1"/>
  <c r="O424" i="1"/>
  <c r="O149" i="2"/>
  <c r="O167" i="3"/>
  <c r="M16" i="5"/>
  <c r="P16" i="5" s="1"/>
  <c r="O330" i="5"/>
  <c r="P134" i="4"/>
  <c r="O43" i="4"/>
  <c r="P90" i="5"/>
  <c r="N14" i="5"/>
  <c r="L20" i="5"/>
  <c r="L18" i="5" s="1"/>
  <c r="O238" i="1"/>
  <c r="P88" i="4"/>
  <c r="P90" i="4"/>
  <c r="M389" i="5"/>
  <c r="P389" i="5" s="1"/>
  <c r="L13" i="5"/>
  <c r="L11" i="5" s="1"/>
  <c r="P26" i="5"/>
  <c r="L66" i="5"/>
  <c r="O66" i="5" s="1"/>
  <c r="M402" i="5"/>
  <c r="P402" i="5" s="1"/>
  <c r="P404" i="5"/>
  <c r="L315" i="5"/>
  <c r="O315" i="5" s="1"/>
  <c r="O317" i="5"/>
  <c r="N345" i="5"/>
  <c r="P345" i="5" s="1"/>
  <c r="M41" i="5"/>
  <c r="P41" i="5" s="1"/>
  <c r="P43" i="5"/>
  <c r="P317" i="3"/>
  <c r="L119" i="5"/>
  <c r="O119" i="5" s="1"/>
  <c r="O151" i="4"/>
  <c r="P347" i="5"/>
  <c r="N24" i="5"/>
  <c r="P24" i="5" s="1"/>
  <c r="P348" i="5"/>
  <c r="P9" i="5"/>
  <c r="I65" i="5"/>
  <c r="K65" i="5" s="1"/>
  <c r="K77" i="5"/>
  <c r="N9" i="5"/>
  <c r="P419" i="5"/>
  <c r="K235" i="1"/>
  <c r="L119" i="2"/>
  <c r="O119" i="2" s="1"/>
  <c r="P151" i="2"/>
  <c r="O331" i="3"/>
  <c r="P301" i="3"/>
  <c r="K275" i="3"/>
  <c r="O347" i="4"/>
  <c r="L34" i="4"/>
  <c r="O34" i="4" s="1"/>
  <c r="O55" i="4"/>
  <c r="K559" i="5"/>
  <c r="I543" i="5"/>
  <c r="K543" i="5" s="1"/>
  <c r="O446" i="5"/>
  <c r="L444" i="5"/>
  <c r="O168" i="5"/>
  <c r="L53" i="5"/>
  <c r="L261" i="5"/>
  <c r="O261" i="5" s="1"/>
  <c r="L298" i="5"/>
  <c r="O298" i="5" s="1"/>
  <c r="P184" i="5"/>
  <c r="O184" i="5"/>
  <c r="L34" i="1"/>
  <c r="O34" i="1" s="1"/>
  <c r="M20" i="2"/>
  <c r="M18" i="2" s="1"/>
  <c r="I64" i="3"/>
  <c r="K64" i="3" s="1"/>
  <c r="L467" i="4"/>
  <c r="O467" i="4" s="1"/>
  <c r="L30" i="4"/>
  <c r="O30" i="4" s="1"/>
  <c r="M298" i="5"/>
  <c r="P298" i="5" s="1"/>
  <c r="N277" i="5"/>
  <c r="O277" i="5" s="1"/>
  <c r="O391" i="5"/>
  <c r="L389" i="5"/>
  <c r="O389" i="5" s="1"/>
  <c r="O29" i="5"/>
  <c r="O469" i="5"/>
  <c r="O33" i="5"/>
  <c r="L31" i="5"/>
  <c r="O31" i="5" s="1"/>
  <c r="L30" i="5"/>
  <c r="O30" i="5" s="1"/>
  <c r="M88" i="5"/>
  <c r="P183" i="5"/>
  <c r="N181" i="5"/>
  <c r="I131" i="5"/>
  <c r="K131" i="5" s="1"/>
  <c r="K143" i="5"/>
  <c r="L181" i="4"/>
  <c r="O181" i="4" s="1"/>
  <c r="P23" i="5"/>
  <c r="M20" i="5"/>
  <c r="M18" i="5" s="1"/>
  <c r="M13" i="5"/>
  <c r="M21" i="5"/>
  <c r="O91" i="5"/>
  <c r="M28" i="5"/>
  <c r="P28" i="5" s="1"/>
  <c r="P29" i="5"/>
  <c r="N20" i="5"/>
  <c r="N18" i="5" s="1"/>
  <c r="N13" i="5"/>
  <c r="N10" i="5" s="1"/>
  <c r="L16" i="5"/>
  <c r="O16" i="5" s="1"/>
  <c r="O26" i="5"/>
  <c r="L24" i="5"/>
  <c r="O23" i="5"/>
  <c r="K433" i="2"/>
  <c r="O15" i="5"/>
  <c r="I226" i="5"/>
  <c r="K226" i="5" s="1"/>
  <c r="K237" i="5"/>
  <c r="M165" i="5"/>
  <c r="P165" i="5" s="1"/>
  <c r="P167" i="5"/>
  <c r="M119" i="5"/>
  <c r="P119" i="5" s="1"/>
  <c r="P121" i="5"/>
  <c r="P15" i="5"/>
  <c r="N422" i="1"/>
  <c r="O422" i="1" s="1"/>
  <c r="K364" i="2"/>
  <c r="M389" i="3"/>
  <c r="P389" i="3" s="1"/>
  <c r="O43" i="3"/>
  <c r="N41" i="4"/>
  <c r="O41" i="4" s="1"/>
  <c r="P184" i="4"/>
  <c r="M20" i="4"/>
  <c r="M18" i="4" s="1"/>
  <c r="L467" i="5"/>
  <c r="O467" i="5" s="1"/>
  <c r="K433" i="5"/>
  <c r="L9" i="5"/>
  <c r="N21" i="5"/>
  <c r="O21" i="5" s="1"/>
  <c r="O279" i="5"/>
  <c r="M544" i="5"/>
  <c r="P544" i="5" s="1"/>
  <c r="P545" i="5"/>
  <c r="P19" i="5"/>
  <c r="O546" i="5"/>
  <c r="L544" i="5"/>
  <c r="O544" i="5" s="1"/>
  <c r="M21" i="4"/>
  <c r="P43" i="1"/>
  <c r="M389" i="2"/>
  <c r="P389" i="2" s="1"/>
  <c r="P347" i="3"/>
  <c r="O330" i="3"/>
  <c r="O53" i="3"/>
  <c r="I131" i="3"/>
  <c r="K131" i="3" s="1"/>
  <c r="P66" i="3"/>
  <c r="P347" i="4"/>
  <c r="O33" i="4"/>
  <c r="M13" i="4"/>
  <c r="M11" i="4" s="1"/>
  <c r="I417" i="2"/>
  <c r="K417" i="2" s="1"/>
  <c r="O88" i="3"/>
  <c r="O279" i="3"/>
  <c r="O298" i="1"/>
  <c r="O469" i="2"/>
  <c r="K364" i="3"/>
  <c r="L132" i="3"/>
  <c r="O132" i="3" s="1"/>
  <c r="L402" i="3"/>
  <c r="O402" i="3" s="1"/>
  <c r="P43" i="4"/>
  <c r="M13" i="2"/>
  <c r="M11" i="2" s="1"/>
  <c r="L41" i="3"/>
  <c r="O41" i="3" s="1"/>
  <c r="O277" i="4"/>
  <c r="M149" i="4"/>
  <c r="P149" i="4" s="1"/>
  <c r="O90" i="2"/>
  <c r="L315" i="4"/>
  <c r="O315" i="4" s="1"/>
  <c r="P279" i="3"/>
  <c r="O345" i="4"/>
  <c r="P167" i="4"/>
  <c r="O68" i="4"/>
  <c r="L66" i="4"/>
  <c r="O66" i="4" s="1"/>
  <c r="O90" i="4"/>
  <c r="L88" i="4"/>
  <c r="O88" i="4" s="1"/>
  <c r="O151" i="2"/>
  <c r="L402" i="4"/>
  <c r="O402" i="4" s="1"/>
  <c r="O279" i="4"/>
  <c r="P55" i="4"/>
  <c r="N53" i="4"/>
  <c r="O53" i="4" s="1"/>
  <c r="O88" i="2"/>
  <c r="K417" i="3"/>
  <c r="P277" i="4"/>
  <c r="L298" i="4"/>
  <c r="O298" i="4" s="1"/>
  <c r="P165" i="4"/>
  <c r="P279" i="4"/>
  <c r="L132" i="4"/>
  <c r="O132" i="4" s="1"/>
  <c r="O134" i="4"/>
  <c r="O43" i="1"/>
  <c r="O55" i="2"/>
  <c r="I226" i="3"/>
  <c r="K226" i="3" s="1"/>
  <c r="O33" i="3"/>
  <c r="P167" i="2"/>
  <c r="N345" i="3"/>
  <c r="O345" i="3" s="1"/>
  <c r="O421" i="4"/>
  <c r="L419" i="4"/>
  <c r="L261" i="4"/>
  <c r="O261" i="4" s="1"/>
  <c r="N9" i="4"/>
  <c r="N16" i="4"/>
  <c r="P26" i="4"/>
  <c r="N24" i="4"/>
  <c r="L165" i="4"/>
  <c r="O165" i="4" s="1"/>
  <c r="O167" i="4"/>
  <c r="O23" i="4"/>
  <c r="L20" i="4"/>
  <c r="L18" i="4" s="1"/>
  <c r="L13" i="4"/>
  <c r="P29" i="4"/>
  <c r="M28" i="4"/>
  <c r="P28" i="4" s="1"/>
  <c r="P59" i="3"/>
  <c r="O546" i="4"/>
  <c r="L544" i="4"/>
  <c r="O544" i="4" s="1"/>
  <c r="M328" i="4"/>
  <c r="P330" i="4"/>
  <c r="M414" i="4"/>
  <c r="P414" i="4" s="1"/>
  <c r="M132" i="2"/>
  <c r="P132" i="2" s="1"/>
  <c r="P404" i="4"/>
  <c r="M402" i="4"/>
  <c r="P402" i="4" s="1"/>
  <c r="P300" i="4"/>
  <c r="M298" i="4"/>
  <c r="P298" i="4" s="1"/>
  <c r="O19" i="4"/>
  <c r="O26" i="4"/>
  <c r="L16" i="4"/>
  <c r="L24" i="4"/>
  <c r="O788" i="4"/>
  <c r="L786" i="4"/>
  <c r="O786" i="4" s="1"/>
  <c r="P391" i="4"/>
  <c r="M389" i="4"/>
  <c r="P389" i="4" s="1"/>
  <c r="M315" i="4"/>
  <c r="P315" i="4" s="1"/>
  <c r="P317" i="4"/>
  <c r="O9" i="4"/>
  <c r="P15" i="4"/>
  <c r="M14" i="4"/>
  <c r="N20" i="4"/>
  <c r="N18" i="4" s="1"/>
  <c r="N13" i="4"/>
  <c r="O631" i="4"/>
  <c r="L629" i="4"/>
  <c r="O629" i="4" s="1"/>
  <c r="K433" i="4"/>
  <c r="I417" i="4"/>
  <c r="K417" i="4" s="1"/>
  <c r="P183" i="4"/>
  <c r="M181" i="4"/>
  <c r="P181" i="4" s="1"/>
  <c r="P263" i="4"/>
  <c r="M261" i="4"/>
  <c r="P261" i="4" s="1"/>
  <c r="O29" i="4"/>
  <c r="K76" i="4"/>
  <c r="I64" i="4"/>
  <c r="K64" i="4" s="1"/>
  <c r="N21" i="4"/>
  <c r="P23" i="4"/>
  <c r="O791" i="1"/>
  <c r="P330" i="3"/>
  <c r="O330" i="4"/>
  <c r="N328" i="4"/>
  <c r="O328" i="4" s="1"/>
  <c r="O238" i="4"/>
  <c r="L227" i="4"/>
  <c r="O121" i="4"/>
  <c r="L119" i="4"/>
  <c r="M9" i="4"/>
  <c r="K248" i="4"/>
  <c r="I226" i="4"/>
  <c r="K226" i="4" s="1"/>
  <c r="P69" i="1"/>
  <c r="O347" i="2"/>
  <c r="L119" i="3"/>
  <c r="O119" i="3" s="1"/>
  <c r="N24" i="2"/>
  <c r="O167" i="2"/>
  <c r="L786" i="3"/>
  <c r="O786" i="3" s="1"/>
  <c r="P168" i="3"/>
  <c r="M165" i="2"/>
  <c r="P165" i="2" s="1"/>
  <c r="I418" i="3"/>
  <c r="K418" i="3" s="1"/>
  <c r="O68" i="3"/>
  <c r="O300" i="2"/>
  <c r="K433" i="3"/>
  <c r="O631" i="3"/>
  <c r="L315" i="3"/>
  <c r="O315" i="3" s="1"/>
  <c r="O317" i="3"/>
  <c r="L30" i="3"/>
  <c r="O30" i="3" s="1"/>
  <c r="P330" i="2"/>
  <c r="L34" i="2"/>
  <c r="O34" i="2" s="1"/>
  <c r="O315" i="2"/>
  <c r="M298" i="3"/>
  <c r="P298" i="3" s="1"/>
  <c r="P151" i="3"/>
  <c r="O446" i="3"/>
  <c r="P263" i="1"/>
  <c r="I64" i="2"/>
  <c r="K64" i="2" s="1"/>
  <c r="P91" i="3"/>
  <c r="P68" i="3"/>
  <c r="O90" i="1"/>
  <c r="L685" i="2"/>
  <c r="O685" i="2" s="1"/>
  <c r="P280" i="2"/>
  <c r="L655" i="2"/>
  <c r="O655" i="2" s="1"/>
  <c r="L165" i="3"/>
  <c r="O165" i="3" s="1"/>
  <c r="O184" i="3"/>
  <c r="M132" i="3"/>
  <c r="P132" i="3" s="1"/>
  <c r="P55" i="3"/>
  <c r="N277" i="3"/>
  <c r="O277" i="3" s="1"/>
  <c r="O391" i="3"/>
  <c r="L389" i="3"/>
  <c r="O389" i="3" s="1"/>
  <c r="L165" i="2"/>
  <c r="O165" i="2" s="1"/>
  <c r="O330" i="2"/>
  <c r="L34" i="3"/>
  <c r="O34" i="3" s="1"/>
  <c r="I164" i="3"/>
  <c r="K164" i="3" s="1"/>
  <c r="K174" i="3"/>
  <c r="O467" i="3"/>
  <c r="N414" i="3"/>
  <c r="N9" i="3"/>
  <c r="P263" i="3"/>
  <c r="M261" i="3"/>
  <c r="P23" i="3"/>
  <c r="M13" i="3"/>
  <c r="M11" i="3" s="1"/>
  <c r="M20" i="3"/>
  <c r="M18" i="3" s="1"/>
  <c r="P26" i="3"/>
  <c r="M16" i="3"/>
  <c r="M14" i="3" s="1"/>
  <c r="P121" i="3"/>
  <c r="M119" i="3"/>
  <c r="P119" i="3" s="1"/>
  <c r="P183" i="3"/>
  <c r="M181" i="3"/>
  <c r="P181" i="3" s="1"/>
  <c r="O23" i="3"/>
  <c r="L20" i="3"/>
  <c r="L13" i="3"/>
  <c r="P279" i="1"/>
  <c r="L389" i="1"/>
  <c r="O389" i="1" s="1"/>
  <c r="O121" i="1"/>
  <c r="O546" i="2"/>
  <c r="L402" i="2"/>
  <c r="O402" i="2" s="1"/>
  <c r="P261" i="2"/>
  <c r="K77" i="2"/>
  <c r="P331" i="3"/>
  <c r="I543" i="3"/>
  <c r="K543" i="3" s="1"/>
  <c r="K559" i="3"/>
  <c r="P19" i="3"/>
  <c r="M88" i="3"/>
  <c r="P88" i="3" s="1"/>
  <c r="M53" i="3"/>
  <c r="P53" i="3" s="1"/>
  <c r="N328" i="3"/>
  <c r="N20" i="3"/>
  <c r="N18" i="3" s="1"/>
  <c r="N13" i="3"/>
  <c r="N21" i="3"/>
  <c r="O29" i="3"/>
  <c r="O90" i="3"/>
  <c r="L181" i="3"/>
  <c r="O181" i="3" s="1"/>
  <c r="L21" i="3"/>
  <c r="O687" i="3"/>
  <c r="L685" i="3"/>
  <c r="O685" i="3" s="1"/>
  <c r="P55" i="2"/>
  <c r="P545" i="3"/>
  <c r="M544" i="3"/>
  <c r="P12" i="3"/>
  <c r="M9" i="3"/>
  <c r="L227" i="3"/>
  <c r="O238" i="3"/>
  <c r="N261" i="3"/>
  <c r="P15" i="3"/>
  <c r="L16" i="3"/>
  <c r="O26" i="3"/>
  <c r="L24" i="3"/>
  <c r="O151" i="1"/>
  <c r="J594" i="1"/>
  <c r="K594" i="1" s="1"/>
  <c r="L544" i="3"/>
  <c r="O544" i="3" s="1"/>
  <c r="N24" i="3"/>
  <c r="N16" i="3"/>
  <c r="N14" i="3" s="1"/>
  <c r="I65" i="3"/>
  <c r="K65" i="3" s="1"/>
  <c r="K77" i="3"/>
  <c r="O9" i="3"/>
  <c r="M24" i="3"/>
  <c r="O217" i="1"/>
  <c r="J593" i="1"/>
  <c r="J592" i="1" s="1"/>
  <c r="K592" i="1" s="1"/>
  <c r="P351" i="3"/>
  <c r="O525" i="3"/>
  <c r="L523" i="3"/>
  <c r="L66" i="3"/>
  <c r="O66" i="3" s="1"/>
  <c r="M66" i="2"/>
  <c r="P66" i="2" s="1"/>
  <c r="P348" i="3"/>
  <c r="O469" i="3"/>
  <c r="L298" i="3"/>
  <c r="O298" i="3" s="1"/>
  <c r="O151" i="3"/>
  <c r="L149" i="3"/>
  <c r="O149" i="3" s="1"/>
  <c r="M21" i="3"/>
  <c r="P43" i="3"/>
  <c r="M41" i="3"/>
  <c r="O55" i="3"/>
  <c r="O31" i="3"/>
  <c r="M165" i="3"/>
  <c r="P165" i="3" s="1"/>
  <c r="P149" i="1"/>
  <c r="L419" i="2"/>
  <c r="O419" i="2" s="1"/>
  <c r="I226" i="2"/>
  <c r="K226" i="2" s="1"/>
  <c r="M277" i="2"/>
  <c r="P277" i="2" s="1"/>
  <c r="L20" i="2"/>
  <c r="O317" i="2"/>
  <c r="N53" i="2"/>
  <c r="O53" i="2" s="1"/>
  <c r="I418" i="2"/>
  <c r="K418" i="2" s="1"/>
  <c r="O328" i="2"/>
  <c r="L132" i="2"/>
  <c r="O132" i="2" s="1"/>
  <c r="P391" i="1"/>
  <c r="N14" i="2"/>
  <c r="M315" i="2"/>
  <c r="P315" i="2" s="1"/>
  <c r="P317" i="2"/>
  <c r="O33" i="2"/>
  <c r="L31" i="2"/>
  <c r="O31" i="2" s="1"/>
  <c r="K364" i="1"/>
  <c r="K418" i="1"/>
  <c r="O68" i="1"/>
  <c r="O44" i="1"/>
  <c r="K288" i="1"/>
  <c r="L227" i="2"/>
  <c r="M88" i="2"/>
  <c r="P88" i="2" s="1"/>
  <c r="P90" i="2"/>
  <c r="P300" i="2"/>
  <c r="M298" i="2"/>
  <c r="P298" i="2" s="1"/>
  <c r="N24" i="1"/>
  <c r="P24" i="1" s="1"/>
  <c r="P44" i="1"/>
  <c r="O660" i="1"/>
  <c r="P132" i="1"/>
  <c r="L30" i="1"/>
  <c r="L28" i="1" s="1"/>
  <c r="L66" i="2"/>
  <c r="O66" i="2" s="1"/>
  <c r="O68" i="2"/>
  <c r="L41" i="2"/>
  <c r="O41" i="2" s="1"/>
  <c r="O43" i="2"/>
  <c r="P351" i="1"/>
  <c r="M149" i="2"/>
  <c r="P149" i="2" s="1"/>
  <c r="L13" i="2"/>
  <c r="L11" i="2" s="1"/>
  <c r="N657" i="1"/>
  <c r="N655" i="1" s="1"/>
  <c r="O655" i="1" s="1"/>
  <c r="P134" i="1"/>
  <c r="P55" i="1"/>
  <c r="L181" i="2"/>
  <c r="O181" i="2" s="1"/>
  <c r="K288" i="2"/>
  <c r="L277" i="2"/>
  <c r="O277" i="2" s="1"/>
  <c r="L30" i="2"/>
  <c r="O30" i="2" s="1"/>
  <c r="K537" i="2"/>
  <c r="J522" i="2"/>
  <c r="K522" i="2" s="1"/>
  <c r="P43" i="2"/>
  <c r="M41" i="2"/>
  <c r="P41" i="2" s="1"/>
  <c r="N21" i="2"/>
  <c r="P21" i="2" s="1"/>
  <c r="N13" i="2"/>
  <c r="N20" i="2"/>
  <c r="N18" i="2" s="1"/>
  <c r="P15" i="2"/>
  <c r="K233" i="1"/>
  <c r="P151" i="1"/>
  <c r="K112" i="1"/>
  <c r="L523" i="2"/>
  <c r="O523" i="2" s="1"/>
  <c r="O525" i="2"/>
  <c r="P404" i="2"/>
  <c r="M402" i="2"/>
  <c r="P402" i="2" s="1"/>
  <c r="P347" i="2"/>
  <c r="P263" i="2"/>
  <c r="O29" i="2"/>
  <c r="M9" i="2"/>
  <c r="P168" i="2"/>
  <c r="O168" i="2"/>
  <c r="O26" i="2"/>
  <c r="L24" i="2"/>
  <c r="L16" i="2"/>
  <c r="O16" i="2" s="1"/>
  <c r="M119" i="2"/>
  <c r="P119" i="2" s="1"/>
  <c r="O23" i="2"/>
  <c r="P351" i="2"/>
  <c r="O15" i="2"/>
  <c r="P23" i="2"/>
  <c r="O549" i="1"/>
  <c r="L9" i="2"/>
  <c r="K275" i="2"/>
  <c r="N345" i="2"/>
  <c r="O345" i="2" s="1"/>
  <c r="M28" i="2"/>
  <c r="P28" i="2" s="1"/>
  <c r="P29" i="2"/>
  <c r="O446" i="2"/>
  <c r="L444" i="2"/>
  <c r="O444" i="2" s="1"/>
  <c r="N546" i="1"/>
  <c r="N544" i="1" s="1"/>
  <c r="O544" i="1" s="1"/>
  <c r="M16" i="1"/>
  <c r="P16" i="1" s="1"/>
  <c r="K434" i="1"/>
  <c r="P26" i="2"/>
  <c r="M16" i="2"/>
  <c r="P16" i="2" s="1"/>
  <c r="M24" i="2"/>
  <c r="P183" i="2"/>
  <c r="M181" i="2"/>
  <c r="P181" i="2" s="1"/>
  <c r="N88" i="1"/>
  <c r="P88" i="1" s="1"/>
  <c r="M328" i="2"/>
  <c r="P328" i="2" s="1"/>
  <c r="M414" i="2"/>
  <c r="P414" i="2" s="1"/>
  <c r="P419" i="2"/>
  <c r="O631" i="2"/>
  <c r="L629" i="2"/>
  <c r="O629" i="2" s="1"/>
  <c r="O263" i="2"/>
  <c r="L261" i="2"/>
  <c r="O261" i="2" s="1"/>
  <c r="J559" i="1"/>
  <c r="J543" i="1" s="1"/>
  <c r="K543" i="1" s="1"/>
  <c r="K576" i="1"/>
  <c r="K180" i="1"/>
  <c r="L132" i="1"/>
  <c r="O132" i="1" s="1"/>
  <c r="N261" i="1"/>
  <c r="P261" i="1" s="1"/>
  <c r="K143" i="1"/>
  <c r="N526" i="1"/>
  <c r="O526" i="1" s="1"/>
  <c r="O167" i="1"/>
  <c r="P90" i="1"/>
  <c r="O528" i="1"/>
  <c r="L31" i="1"/>
  <c r="K236" i="1"/>
  <c r="P330" i="1"/>
  <c r="O198" i="1"/>
  <c r="N53" i="1"/>
  <c r="O53" i="1" s="1"/>
  <c r="O330" i="1"/>
  <c r="N632" i="1"/>
  <c r="O632" i="1" s="1"/>
  <c r="L119" i="1"/>
  <c r="O119" i="1" s="1"/>
  <c r="L328" i="1"/>
  <c r="O328" i="1" s="1"/>
  <c r="O149" i="1"/>
  <c r="L402" i="1"/>
  <c r="O402" i="1" s="1"/>
  <c r="N277" i="1"/>
  <c r="P277" i="1" s="1"/>
  <c r="L227" i="1"/>
  <c r="O227" i="1" s="1"/>
  <c r="O347" i="1"/>
  <c r="O300" i="1"/>
  <c r="N631" i="1"/>
  <c r="N629" i="1" s="1"/>
  <c r="O629" i="1" s="1"/>
  <c r="O334" i="1"/>
  <c r="P167" i="1"/>
  <c r="M165" i="1"/>
  <c r="O317" i="1"/>
  <c r="O66" i="1"/>
  <c r="L345" i="1"/>
  <c r="O345" i="1" s="1"/>
  <c r="K522" i="1"/>
  <c r="O525" i="1"/>
  <c r="P135" i="1"/>
  <c r="L41" i="1"/>
  <c r="O41" i="1" s="1"/>
  <c r="P26" i="1"/>
  <c r="N688" i="1"/>
  <c r="O688" i="1" s="1"/>
  <c r="N687" i="1"/>
  <c r="N685" i="1" s="1"/>
  <c r="P347" i="1"/>
  <c r="M402" i="1"/>
  <c r="P402" i="1" s="1"/>
  <c r="P404" i="1"/>
  <c r="N165" i="1"/>
  <c r="O165" i="1" s="1"/>
  <c r="O55" i="1"/>
  <c r="P121" i="1"/>
  <c r="M119" i="1"/>
  <c r="P119" i="1" s="1"/>
  <c r="P138" i="1"/>
  <c r="M298" i="1"/>
  <c r="P298" i="1" s="1"/>
  <c r="P300" i="1"/>
  <c r="O263" i="1"/>
  <c r="L261" i="1"/>
  <c r="N470" i="1"/>
  <c r="O470" i="1" s="1"/>
  <c r="N469" i="1"/>
  <c r="N467" i="1" s="1"/>
  <c r="O472" i="1"/>
  <c r="O279" i="1"/>
  <c r="L277" i="1"/>
  <c r="K537" i="1"/>
  <c r="N788" i="1"/>
  <c r="P345" i="1"/>
  <c r="P183" i="1"/>
  <c r="O23" i="1"/>
  <c r="L20" i="1"/>
  <c r="L18" i="1" s="1"/>
  <c r="L13" i="1"/>
  <c r="O26" i="1"/>
  <c r="L16" i="1"/>
  <c r="O16" i="1" s="1"/>
  <c r="K76" i="1"/>
  <c r="I64" i="1"/>
  <c r="K64" i="1" s="1"/>
  <c r="P15" i="1"/>
  <c r="O421" i="1"/>
  <c r="L419" i="1"/>
  <c r="P68" i="1"/>
  <c r="M66" i="1"/>
  <c r="P66" i="1" s="1"/>
  <c r="L21" i="1"/>
  <c r="N315" i="1"/>
  <c r="O315" i="1" s="1"/>
  <c r="O29" i="1"/>
  <c r="M41" i="1"/>
  <c r="N181" i="1"/>
  <c r="O181" i="1" s="1"/>
  <c r="O183" i="1"/>
  <c r="K226" i="1"/>
  <c r="L24" i="1"/>
  <c r="M9" i="1"/>
  <c r="P12" i="1"/>
  <c r="L685" i="1"/>
  <c r="O523" i="1"/>
  <c r="O19" i="1"/>
  <c r="O15" i="1"/>
  <c r="M28" i="1"/>
  <c r="P28" i="1" s="1"/>
  <c r="P29" i="1"/>
  <c r="N447" i="1"/>
  <c r="O447" i="1" s="1"/>
  <c r="N446" i="1"/>
  <c r="N33" i="1"/>
  <c r="N20" i="1"/>
  <c r="N18" i="1" s="1"/>
  <c r="N21" i="1"/>
  <c r="P21" i="1" s="1"/>
  <c r="O9" i="1"/>
  <c r="O547" i="1"/>
  <c r="O449" i="1"/>
  <c r="M414" i="1"/>
  <c r="P414" i="1" s="1"/>
  <c r="M13" i="1"/>
  <c r="M11" i="1" s="1"/>
  <c r="P23" i="1"/>
  <c r="M20" i="1"/>
  <c r="K77" i="1"/>
  <c r="I65" i="1"/>
  <c r="K65" i="1" s="1"/>
  <c r="P298" i="21" l="1"/>
  <c r="P20" i="17"/>
  <c r="P24" i="16"/>
  <c r="P24" i="21"/>
  <c r="O345" i="20"/>
  <c r="O21" i="21"/>
  <c r="L28" i="21"/>
  <c r="O28" i="21" s="1"/>
  <c r="L28" i="18"/>
  <c r="O28" i="18" s="1"/>
  <c r="P14" i="21"/>
  <c r="O24" i="21"/>
  <c r="O21" i="17"/>
  <c r="P21" i="17"/>
  <c r="O20" i="20"/>
  <c r="P21" i="21"/>
  <c r="O53" i="17"/>
  <c r="L14" i="21"/>
  <c r="O14" i="21" s="1"/>
  <c r="N37" i="21"/>
  <c r="O16" i="19"/>
  <c r="J654" i="1"/>
  <c r="K654" i="1" s="1"/>
  <c r="P41" i="20"/>
  <c r="L10" i="21"/>
  <c r="L8" i="21" s="1"/>
  <c r="N11" i="18"/>
  <c r="P11" i="18" s="1"/>
  <c r="M10" i="20"/>
  <c r="M8" i="20" s="1"/>
  <c r="P328" i="21"/>
  <c r="P14" i="16"/>
  <c r="N10" i="20"/>
  <c r="N8" i="20" s="1"/>
  <c r="N10" i="21"/>
  <c r="N8" i="21" s="1"/>
  <c r="P13" i="21"/>
  <c r="N18" i="21"/>
  <c r="O18" i="21" s="1"/>
  <c r="O20" i="21"/>
  <c r="N11" i="21"/>
  <c r="O11" i="21" s="1"/>
  <c r="P9" i="21"/>
  <c r="M8" i="21"/>
  <c r="P20" i="21"/>
  <c r="L37" i="21"/>
  <c r="K226" i="21"/>
  <c r="I180" i="21"/>
  <c r="K180" i="21" s="1"/>
  <c r="M37" i="21"/>
  <c r="N414" i="21"/>
  <c r="O419" i="21"/>
  <c r="L414" i="21"/>
  <c r="O13" i="21"/>
  <c r="L28" i="20"/>
  <c r="O28" i="20" s="1"/>
  <c r="O53" i="19"/>
  <c r="P53" i="19"/>
  <c r="M10" i="19"/>
  <c r="M8" i="19" s="1"/>
  <c r="P277" i="20"/>
  <c r="P14" i="20"/>
  <c r="O20" i="15"/>
  <c r="P24" i="20"/>
  <c r="P16" i="20"/>
  <c r="O88" i="19"/>
  <c r="O165" i="15"/>
  <c r="O9" i="20"/>
  <c r="O328" i="20"/>
  <c r="N37" i="20"/>
  <c r="O53" i="20"/>
  <c r="M37" i="20"/>
  <c r="L28" i="17"/>
  <c r="O28" i="17" s="1"/>
  <c r="P20" i="18"/>
  <c r="O13" i="20"/>
  <c r="L10" i="20"/>
  <c r="O10" i="20" s="1"/>
  <c r="L11" i="20"/>
  <c r="O24" i="20"/>
  <c r="N11" i="20"/>
  <c r="P11" i="20" s="1"/>
  <c r="L414" i="20"/>
  <c r="O414" i="20" s="1"/>
  <c r="O16" i="20"/>
  <c r="L14" i="20"/>
  <c r="O14" i="20" s="1"/>
  <c r="L18" i="20"/>
  <c r="O18" i="20" s="1"/>
  <c r="L37" i="20"/>
  <c r="N18" i="15"/>
  <c r="O18" i="15" s="1"/>
  <c r="P13" i="20"/>
  <c r="P53" i="20"/>
  <c r="O261" i="20"/>
  <c r="P544" i="20"/>
  <c r="M414" i="20"/>
  <c r="P414" i="20" s="1"/>
  <c r="P20" i="20"/>
  <c r="M18" i="20"/>
  <c r="P18" i="20" s="1"/>
  <c r="L28" i="19"/>
  <c r="O28" i="19" s="1"/>
  <c r="L37" i="19"/>
  <c r="M37" i="19"/>
  <c r="L10" i="19"/>
  <c r="L8" i="19" s="1"/>
  <c r="L11" i="19"/>
  <c r="M37" i="18"/>
  <c r="N10" i="19"/>
  <c r="N11" i="19"/>
  <c r="P13" i="19"/>
  <c r="O13" i="19"/>
  <c r="P24" i="19"/>
  <c r="O9" i="19"/>
  <c r="N18" i="19"/>
  <c r="O18" i="19" s="1"/>
  <c r="P20" i="19"/>
  <c r="O20" i="19"/>
  <c r="N37" i="19"/>
  <c r="O66" i="19"/>
  <c r="P66" i="19"/>
  <c r="L414" i="19"/>
  <c r="O414" i="19" s="1"/>
  <c r="O419" i="19"/>
  <c r="P21" i="19"/>
  <c r="O21" i="19"/>
  <c r="O20" i="18"/>
  <c r="L18" i="18"/>
  <c r="O18" i="18" s="1"/>
  <c r="N37" i="18"/>
  <c r="P20" i="15"/>
  <c r="O181" i="18"/>
  <c r="L37" i="17"/>
  <c r="N14" i="18"/>
  <c r="P14" i="18" s="1"/>
  <c r="P16" i="18"/>
  <c r="N10" i="18"/>
  <c r="N8" i="18" s="1"/>
  <c r="M18" i="18"/>
  <c r="P18" i="18" s="1"/>
  <c r="P24" i="18"/>
  <c r="O24" i="18"/>
  <c r="O16" i="18"/>
  <c r="P16" i="12"/>
  <c r="O13" i="18"/>
  <c r="L10" i="18"/>
  <c r="L11" i="18"/>
  <c r="L37" i="18"/>
  <c r="L414" i="18"/>
  <c r="O414" i="18" s="1"/>
  <c r="O419" i="18"/>
  <c r="P9" i="18"/>
  <c r="M8" i="18"/>
  <c r="N11" i="15"/>
  <c r="P11" i="15" s="1"/>
  <c r="O88" i="16"/>
  <c r="P53" i="13"/>
  <c r="L414" i="17"/>
  <c r="O24" i="16"/>
  <c r="P24" i="17"/>
  <c r="I180" i="15"/>
  <c r="K180" i="15" s="1"/>
  <c r="P165" i="16"/>
  <c r="O16" i="17"/>
  <c r="O277" i="17"/>
  <c r="P11" i="17"/>
  <c r="L28" i="16"/>
  <c r="O28" i="16" s="1"/>
  <c r="P298" i="16"/>
  <c r="N10" i="17"/>
  <c r="N8" i="17" s="1"/>
  <c r="M18" i="17"/>
  <c r="P18" i="17" s="1"/>
  <c r="O13" i="17"/>
  <c r="L10" i="17"/>
  <c r="L11" i="17"/>
  <c r="O11" i="17" s="1"/>
  <c r="N37" i="17"/>
  <c r="O181" i="17"/>
  <c r="M11" i="16"/>
  <c r="P16" i="17"/>
  <c r="M10" i="17"/>
  <c r="M14" i="17"/>
  <c r="P14" i="17" s="1"/>
  <c r="O20" i="17"/>
  <c r="L18" i="17"/>
  <c r="O18" i="17" s="1"/>
  <c r="P181" i="17"/>
  <c r="P9" i="17"/>
  <c r="M37" i="17"/>
  <c r="O14" i="17"/>
  <c r="N414" i="17"/>
  <c r="M10" i="15"/>
  <c r="M8" i="15" s="1"/>
  <c r="P20" i="14"/>
  <c r="P18" i="16"/>
  <c r="P13" i="16"/>
  <c r="N37" i="16"/>
  <c r="P41" i="16"/>
  <c r="O20" i="16"/>
  <c r="L18" i="16"/>
  <c r="O18" i="16" s="1"/>
  <c r="P132" i="15"/>
  <c r="M8" i="16"/>
  <c r="P9" i="16"/>
  <c r="P20" i="16"/>
  <c r="O41" i="16"/>
  <c r="L37" i="16"/>
  <c r="O9" i="16"/>
  <c r="O419" i="16"/>
  <c r="L414" i="16"/>
  <c r="O414" i="16" s="1"/>
  <c r="N10" i="16"/>
  <c r="N8" i="16" s="1"/>
  <c r="N11" i="16"/>
  <c r="L14" i="16"/>
  <c r="O14" i="16" s="1"/>
  <c r="P53" i="16"/>
  <c r="M37" i="16"/>
  <c r="O21" i="16"/>
  <c r="O24" i="11"/>
  <c r="P11" i="12"/>
  <c r="P14" i="15"/>
  <c r="O13" i="16"/>
  <c r="L10" i="16"/>
  <c r="L11" i="16"/>
  <c r="N414" i="16"/>
  <c r="P53" i="15"/>
  <c r="L28" i="12"/>
  <c r="O28" i="12" s="1"/>
  <c r="M18" i="15"/>
  <c r="P181" i="14"/>
  <c r="N37" i="15"/>
  <c r="O345" i="13"/>
  <c r="P24" i="15"/>
  <c r="P119" i="15"/>
  <c r="M37" i="15"/>
  <c r="O24" i="15"/>
  <c r="P9" i="15"/>
  <c r="O30" i="15"/>
  <c r="L28" i="15"/>
  <c r="O28" i="15" s="1"/>
  <c r="L10" i="15"/>
  <c r="O13" i="15"/>
  <c r="L11" i="15"/>
  <c r="O66" i="15"/>
  <c r="P66" i="15"/>
  <c r="L414" i="15"/>
  <c r="O414" i="15" s="1"/>
  <c r="O419" i="15"/>
  <c r="P16" i="15"/>
  <c r="N10" i="15"/>
  <c r="N8" i="15" s="1"/>
  <c r="N37" i="13"/>
  <c r="O16" i="15"/>
  <c r="L14" i="15"/>
  <c r="O14" i="15" s="1"/>
  <c r="L37" i="15"/>
  <c r="P20" i="13"/>
  <c r="P24" i="13"/>
  <c r="L28" i="14"/>
  <c r="O28" i="14" s="1"/>
  <c r="P24" i="14"/>
  <c r="N10" i="14"/>
  <c r="N8" i="14" s="1"/>
  <c r="O14" i="14"/>
  <c r="P9" i="14"/>
  <c r="O16" i="14"/>
  <c r="L37" i="14"/>
  <c r="P13" i="14"/>
  <c r="M10" i="14"/>
  <c r="O13" i="14"/>
  <c r="L10" i="14"/>
  <c r="L11" i="14"/>
  <c r="O11" i="14" s="1"/>
  <c r="P66" i="14"/>
  <c r="O20" i="14"/>
  <c r="L18" i="14"/>
  <c r="O18" i="14" s="1"/>
  <c r="P16" i="14"/>
  <c r="M14" i="14"/>
  <c r="P14" i="14" s="1"/>
  <c r="L414" i="13"/>
  <c r="O414" i="13" s="1"/>
  <c r="P41" i="14"/>
  <c r="M37" i="14"/>
  <c r="P165" i="14"/>
  <c r="M18" i="14"/>
  <c r="P18" i="14" s="1"/>
  <c r="M11" i="14"/>
  <c r="P11" i="14" s="1"/>
  <c r="N37" i="14"/>
  <c r="L414" i="14"/>
  <c r="O414" i="14" s="1"/>
  <c r="O419" i="14"/>
  <c r="P13" i="13"/>
  <c r="N8" i="13"/>
  <c r="P14" i="12"/>
  <c r="N11" i="13"/>
  <c r="P11" i="13" s="1"/>
  <c r="M37" i="13"/>
  <c r="N10" i="12"/>
  <c r="N8" i="12" s="1"/>
  <c r="M18" i="13"/>
  <c r="P18" i="13" s="1"/>
  <c r="O16" i="13"/>
  <c r="L14" i="13"/>
  <c r="O14" i="13" s="1"/>
  <c r="O30" i="13"/>
  <c r="L28" i="13"/>
  <c r="O28" i="13" s="1"/>
  <c r="L10" i="13"/>
  <c r="O13" i="13"/>
  <c r="L11" i="13"/>
  <c r="O20" i="13"/>
  <c r="L18" i="13"/>
  <c r="O18" i="13" s="1"/>
  <c r="P9" i="13"/>
  <c r="L37" i="13"/>
  <c r="P20" i="12"/>
  <c r="M14" i="13"/>
  <c r="P14" i="13" s="1"/>
  <c r="P16" i="13"/>
  <c r="M10" i="13"/>
  <c r="P10" i="13" s="1"/>
  <c r="P277" i="12"/>
  <c r="P277" i="8"/>
  <c r="O66" i="12"/>
  <c r="P53" i="12"/>
  <c r="M37" i="12"/>
  <c r="O345" i="11"/>
  <c r="M18" i="12"/>
  <c r="P18" i="12" s="1"/>
  <c r="N37" i="12"/>
  <c r="P9" i="12"/>
  <c r="L414" i="12"/>
  <c r="O414" i="12" s="1"/>
  <c r="O419" i="12"/>
  <c r="L10" i="11"/>
  <c r="O10" i="11" s="1"/>
  <c r="O24" i="12"/>
  <c r="P13" i="12"/>
  <c r="M10" i="12"/>
  <c r="L37" i="12"/>
  <c r="O41" i="12"/>
  <c r="O13" i="12"/>
  <c r="L10" i="12"/>
  <c r="L11" i="12"/>
  <c r="O11" i="12" s="1"/>
  <c r="P21" i="10"/>
  <c r="N37" i="11"/>
  <c r="L14" i="12"/>
  <c r="O14" i="12" s="1"/>
  <c r="O20" i="12"/>
  <c r="L18" i="12"/>
  <c r="O18" i="12" s="1"/>
  <c r="O328" i="11"/>
  <c r="P66" i="9"/>
  <c r="O13" i="11"/>
  <c r="P345" i="9"/>
  <c r="N8" i="11"/>
  <c r="O18" i="11"/>
  <c r="O20" i="11"/>
  <c r="N11" i="11"/>
  <c r="O11" i="11" s="1"/>
  <c r="L37" i="11"/>
  <c r="P16" i="11"/>
  <c r="M14" i="11"/>
  <c r="P14" i="11" s="1"/>
  <c r="P13" i="11"/>
  <c r="M10" i="11"/>
  <c r="M11" i="11"/>
  <c r="O30" i="11"/>
  <c r="L28" i="11"/>
  <c r="O28" i="11" s="1"/>
  <c r="P20" i="11"/>
  <c r="M18" i="11"/>
  <c r="P18" i="11" s="1"/>
  <c r="O16" i="11"/>
  <c r="L14" i="11"/>
  <c r="O14" i="11" s="1"/>
  <c r="O53" i="9"/>
  <c r="M414" i="11"/>
  <c r="P414" i="11" s="1"/>
  <c r="O467" i="11"/>
  <c r="L414" i="11"/>
  <c r="O414" i="11" s="1"/>
  <c r="P88" i="11"/>
  <c r="M37" i="11"/>
  <c r="O9" i="11"/>
  <c r="P328" i="9"/>
  <c r="O16" i="6"/>
  <c r="O24" i="8"/>
  <c r="L37" i="10"/>
  <c r="M10" i="8"/>
  <c r="M8" i="8" s="1"/>
  <c r="M14" i="8"/>
  <c r="P14" i="8" s="1"/>
  <c r="P24" i="8"/>
  <c r="O30" i="10"/>
  <c r="L28" i="10"/>
  <c r="O28" i="10" s="1"/>
  <c r="P181" i="9"/>
  <c r="N37" i="9"/>
  <c r="O14" i="10"/>
  <c r="O13" i="10"/>
  <c r="L10" i="10"/>
  <c r="L11" i="10"/>
  <c r="P277" i="10"/>
  <c r="O20" i="10"/>
  <c r="L18" i="10"/>
  <c r="O18" i="10" s="1"/>
  <c r="P13" i="10"/>
  <c r="M10" i="10"/>
  <c r="M11" i="10"/>
  <c r="N10" i="10"/>
  <c r="N8" i="10" s="1"/>
  <c r="N11" i="10"/>
  <c r="M37" i="9"/>
  <c r="P20" i="10"/>
  <c r="M18" i="10"/>
  <c r="P18" i="10" s="1"/>
  <c r="M37" i="10"/>
  <c r="L414" i="10"/>
  <c r="O414" i="10" s="1"/>
  <c r="N37" i="10"/>
  <c r="P16" i="10"/>
  <c r="O16" i="10"/>
  <c r="P14" i="10"/>
  <c r="O165" i="6"/>
  <c r="N14" i="6"/>
  <c r="P261" i="7"/>
  <c r="P66" i="8"/>
  <c r="O21" i="6"/>
  <c r="O24" i="9"/>
  <c r="P24" i="9"/>
  <c r="N11" i="9"/>
  <c r="P11" i="9" s="1"/>
  <c r="N8" i="8"/>
  <c r="O16" i="9"/>
  <c r="L37" i="9"/>
  <c r="P24" i="7"/>
  <c r="L14" i="9"/>
  <c r="O14" i="9" s="1"/>
  <c r="N10" i="9"/>
  <c r="N8" i="9" s="1"/>
  <c r="O20" i="9"/>
  <c r="P18" i="9"/>
  <c r="P20" i="6"/>
  <c r="P13" i="6"/>
  <c r="P9" i="9"/>
  <c r="M8" i="9"/>
  <c r="P16" i="9"/>
  <c r="M14" i="9"/>
  <c r="P14" i="9" s="1"/>
  <c r="O9" i="9"/>
  <c r="L414" i="9"/>
  <c r="O414" i="9" s="1"/>
  <c r="O419" i="9"/>
  <c r="O30" i="9"/>
  <c r="L28" i="9"/>
  <c r="O28" i="9" s="1"/>
  <c r="O13" i="9"/>
  <c r="L10" i="9"/>
  <c r="L8" i="9" s="1"/>
  <c r="O18" i="9"/>
  <c r="P20" i="9"/>
  <c r="P13" i="7"/>
  <c r="N11" i="8"/>
  <c r="O11" i="8" s="1"/>
  <c r="O20" i="6"/>
  <c r="O30" i="7"/>
  <c r="O149" i="8"/>
  <c r="P13" i="8"/>
  <c r="P18" i="7"/>
  <c r="O20" i="7"/>
  <c r="P20" i="7"/>
  <c r="L14" i="5"/>
  <c r="O14" i="5" s="1"/>
  <c r="L28" i="8"/>
  <c r="O28" i="8" s="1"/>
  <c r="P18" i="8"/>
  <c r="P16" i="6"/>
  <c r="O16" i="8"/>
  <c r="L14" i="8"/>
  <c r="O14" i="8" s="1"/>
  <c r="N37" i="8"/>
  <c r="P20" i="8"/>
  <c r="O9" i="8"/>
  <c r="P9" i="8"/>
  <c r="L18" i="8"/>
  <c r="O18" i="8" s="1"/>
  <c r="L414" i="8"/>
  <c r="O414" i="8" s="1"/>
  <c r="M37" i="8"/>
  <c r="L37" i="8"/>
  <c r="P53" i="8"/>
  <c r="M10" i="7"/>
  <c r="M8" i="7" s="1"/>
  <c r="P11" i="7"/>
  <c r="O13" i="8"/>
  <c r="L10" i="8"/>
  <c r="O10" i="8" s="1"/>
  <c r="L14" i="6"/>
  <c r="L37" i="7"/>
  <c r="P13" i="2"/>
  <c r="O345" i="5"/>
  <c r="P345" i="3"/>
  <c r="M37" i="7"/>
  <c r="N14" i="7"/>
  <c r="P14" i="7" s="1"/>
  <c r="P16" i="7"/>
  <c r="N10" i="7"/>
  <c r="N8" i="7" s="1"/>
  <c r="N37" i="7"/>
  <c r="O53" i="7"/>
  <c r="P53" i="7"/>
  <c r="L414" i="7"/>
  <c r="O414" i="7" s="1"/>
  <c r="O9" i="7"/>
  <c r="O13" i="7"/>
  <c r="L10" i="7"/>
  <c r="L11" i="7"/>
  <c r="O11" i="7" s="1"/>
  <c r="O24" i="7"/>
  <c r="O24" i="1"/>
  <c r="P24" i="4"/>
  <c r="M14" i="5"/>
  <c r="P14" i="5" s="1"/>
  <c r="L18" i="7"/>
  <c r="O18" i="7" s="1"/>
  <c r="O16" i="7"/>
  <c r="L14" i="7"/>
  <c r="M18" i="6"/>
  <c r="P18" i="6" s="1"/>
  <c r="O30" i="6"/>
  <c r="L28" i="6"/>
  <c r="O28" i="6" s="1"/>
  <c r="P53" i="2"/>
  <c r="O345" i="6"/>
  <c r="P328" i="6"/>
  <c r="M10" i="6"/>
  <c r="P10" i="6" s="1"/>
  <c r="L18" i="6"/>
  <c r="O18" i="6" s="1"/>
  <c r="K593" i="1"/>
  <c r="N11" i="5"/>
  <c r="O11" i="5" s="1"/>
  <c r="P41" i="6"/>
  <c r="M37" i="6"/>
  <c r="O298" i="6"/>
  <c r="P298" i="6"/>
  <c r="O419" i="6"/>
  <c r="L414" i="6"/>
  <c r="O414" i="6" s="1"/>
  <c r="O13" i="6"/>
  <c r="L10" i="6"/>
  <c r="O10" i="6" s="1"/>
  <c r="L28" i="4"/>
  <c r="O28" i="4" s="1"/>
  <c r="O328" i="5"/>
  <c r="P119" i="6"/>
  <c r="O119" i="6"/>
  <c r="O53" i="6"/>
  <c r="N37" i="6"/>
  <c r="P9" i="6"/>
  <c r="P261" i="6"/>
  <c r="O261" i="6"/>
  <c r="O9" i="6"/>
  <c r="P41" i="4"/>
  <c r="M10" i="4"/>
  <c r="M8" i="4" s="1"/>
  <c r="K226" i="6"/>
  <c r="I180" i="6"/>
  <c r="K180" i="6" s="1"/>
  <c r="L11" i="6"/>
  <c r="O11" i="6" s="1"/>
  <c r="M14" i="6"/>
  <c r="L37" i="6"/>
  <c r="O24" i="2"/>
  <c r="P21" i="4"/>
  <c r="P277" i="5"/>
  <c r="P18" i="5"/>
  <c r="O24" i="5"/>
  <c r="P18" i="4"/>
  <c r="O20" i="5"/>
  <c r="O9" i="5"/>
  <c r="L414" i="5"/>
  <c r="O414" i="5" s="1"/>
  <c r="O444" i="5"/>
  <c r="P53" i="4"/>
  <c r="P88" i="5"/>
  <c r="M37" i="5"/>
  <c r="L28" i="5"/>
  <c r="O28" i="5" s="1"/>
  <c r="N8" i="5"/>
  <c r="N10" i="4"/>
  <c r="N8" i="4" s="1"/>
  <c r="P21" i="5"/>
  <c r="P13" i="5"/>
  <c r="M10" i="5"/>
  <c r="M11" i="5"/>
  <c r="O53" i="5"/>
  <c r="L37" i="5"/>
  <c r="O13" i="5"/>
  <c r="P20" i="5"/>
  <c r="N37" i="5"/>
  <c r="O181" i="5"/>
  <c r="P181" i="5"/>
  <c r="M414" i="5"/>
  <c r="P414" i="5" s="1"/>
  <c r="O18" i="5"/>
  <c r="L10" i="5"/>
  <c r="O10" i="5" s="1"/>
  <c r="O277" i="1"/>
  <c r="O21" i="4"/>
  <c r="P13" i="4"/>
  <c r="O24" i="4"/>
  <c r="P9" i="4"/>
  <c r="M37" i="4"/>
  <c r="O20" i="4"/>
  <c r="N14" i="4"/>
  <c r="P14" i="4" s="1"/>
  <c r="P16" i="4"/>
  <c r="O18" i="4"/>
  <c r="N11" i="4"/>
  <c r="P11" i="4" s="1"/>
  <c r="O119" i="4"/>
  <c r="L37" i="4"/>
  <c r="P20" i="4"/>
  <c r="N37" i="4"/>
  <c r="O16" i="4"/>
  <c r="L14" i="4"/>
  <c r="O419" i="4"/>
  <c r="L414" i="4"/>
  <c r="O414" i="4" s="1"/>
  <c r="P328" i="4"/>
  <c r="O13" i="4"/>
  <c r="L10" i="4"/>
  <c r="L11" i="4"/>
  <c r="O21" i="3"/>
  <c r="N10" i="3"/>
  <c r="N8" i="3" s="1"/>
  <c r="L37" i="3"/>
  <c r="P24" i="2"/>
  <c r="P21" i="3"/>
  <c r="L28" i="3"/>
  <c r="O28" i="3" s="1"/>
  <c r="L14" i="2"/>
  <c r="O14" i="2" s="1"/>
  <c r="P20" i="3"/>
  <c r="O546" i="1"/>
  <c r="P277" i="3"/>
  <c r="L28" i="2"/>
  <c r="O28" i="2" s="1"/>
  <c r="P24" i="3"/>
  <c r="P261" i="3"/>
  <c r="P18" i="3"/>
  <c r="O16" i="3"/>
  <c r="L14" i="3"/>
  <c r="O14" i="3" s="1"/>
  <c r="P9" i="3"/>
  <c r="O13" i="3"/>
  <c r="L10" i="3"/>
  <c r="L11" i="3"/>
  <c r="O657" i="1"/>
  <c r="O88" i="1"/>
  <c r="P41" i="3"/>
  <c r="M37" i="3"/>
  <c r="P14" i="3"/>
  <c r="O20" i="3"/>
  <c r="L18" i="3"/>
  <c r="O18" i="3" s="1"/>
  <c r="P16" i="3"/>
  <c r="P328" i="3"/>
  <c r="O328" i="3"/>
  <c r="N11" i="3"/>
  <c r="P11" i="3" s="1"/>
  <c r="O261" i="3"/>
  <c r="N37" i="3"/>
  <c r="P544" i="3"/>
  <c r="M414" i="3"/>
  <c r="P414" i="3" s="1"/>
  <c r="O523" i="3"/>
  <c r="L414" i="3"/>
  <c r="O414" i="3" s="1"/>
  <c r="O24" i="3"/>
  <c r="P13" i="3"/>
  <c r="M10" i="3"/>
  <c r="O20" i="2"/>
  <c r="M14" i="1"/>
  <c r="P14" i="1" s="1"/>
  <c r="O631" i="1"/>
  <c r="O13" i="2"/>
  <c r="L18" i="2"/>
  <c r="O18" i="2" s="1"/>
  <c r="P165" i="1"/>
  <c r="O261" i="1"/>
  <c r="M37" i="2"/>
  <c r="M10" i="2"/>
  <c r="M8" i="2" s="1"/>
  <c r="L10" i="2"/>
  <c r="L8" i="2" s="1"/>
  <c r="L414" i="2"/>
  <c r="O414" i="2" s="1"/>
  <c r="O9" i="2"/>
  <c r="P9" i="2"/>
  <c r="M14" i="2"/>
  <c r="P14" i="2" s="1"/>
  <c r="P18" i="2"/>
  <c r="P53" i="1"/>
  <c r="O21" i="2"/>
  <c r="P345" i="2"/>
  <c r="P20" i="2"/>
  <c r="L37" i="2"/>
  <c r="N10" i="2"/>
  <c r="N8" i="2" s="1"/>
  <c r="N11" i="2"/>
  <c r="O11" i="2" s="1"/>
  <c r="N37" i="2"/>
  <c r="K559" i="1"/>
  <c r="L14" i="1"/>
  <c r="O14" i="1" s="1"/>
  <c r="O687" i="1"/>
  <c r="O685" i="1"/>
  <c r="L37" i="1"/>
  <c r="O21" i="1"/>
  <c r="N786" i="1"/>
  <c r="O786" i="1" s="1"/>
  <c r="O788" i="1"/>
  <c r="N30" i="1"/>
  <c r="N31" i="1"/>
  <c r="O31" i="1" s="1"/>
  <c r="O33" i="1"/>
  <c r="P9" i="1"/>
  <c r="L10" i="1"/>
  <c r="L11" i="1"/>
  <c r="M10" i="1"/>
  <c r="M8" i="1" s="1"/>
  <c r="O18" i="1"/>
  <c r="M37" i="1"/>
  <c r="P41" i="1"/>
  <c r="N37" i="1"/>
  <c r="O20" i="1"/>
  <c r="N444" i="1"/>
  <c r="O446" i="1"/>
  <c r="P20" i="1"/>
  <c r="M18" i="1"/>
  <c r="P18" i="1" s="1"/>
  <c r="N13" i="1"/>
  <c r="P13" i="1" s="1"/>
  <c r="P181" i="1"/>
  <c r="O419" i="1"/>
  <c r="L414" i="1"/>
  <c r="O8" i="21" l="1"/>
  <c r="O37" i="11"/>
  <c r="O37" i="21"/>
  <c r="P18" i="15"/>
  <c r="P37" i="21"/>
  <c r="P18" i="21"/>
  <c r="O11" i="18"/>
  <c r="P10" i="20"/>
  <c r="P8" i="20"/>
  <c r="O10" i="21"/>
  <c r="O414" i="21"/>
  <c r="P11" i="21"/>
  <c r="P8" i="21"/>
  <c r="P10" i="21"/>
  <c r="O37" i="20"/>
  <c r="O37" i="18"/>
  <c r="L8" i="20"/>
  <c r="O8" i="20" s="1"/>
  <c r="O11" i="20"/>
  <c r="P37" i="20"/>
  <c r="O37" i="17"/>
  <c r="P11" i="16"/>
  <c r="O414" i="17"/>
  <c r="P18" i="19"/>
  <c r="O14" i="18"/>
  <c r="P37" i="19"/>
  <c r="P37" i="18"/>
  <c r="O37" i="19"/>
  <c r="P11" i="19"/>
  <c r="O11" i="19"/>
  <c r="O10" i="19"/>
  <c r="N8" i="19"/>
  <c r="O8" i="19" s="1"/>
  <c r="P10" i="19"/>
  <c r="P8" i="18"/>
  <c r="P10" i="18"/>
  <c r="O11" i="15"/>
  <c r="O10" i="18"/>
  <c r="L8" i="18"/>
  <c r="O8" i="18" s="1"/>
  <c r="P10" i="17"/>
  <c r="M8" i="17"/>
  <c r="P8" i="17" s="1"/>
  <c r="O10" i="17"/>
  <c r="L8" i="17"/>
  <c r="O8" i="17" s="1"/>
  <c r="P37" i="17"/>
  <c r="P37" i="15"/>
  <c r="O10" i="16"/>
  <c r="P37" i="16"/>
  <c r="P8" i="16"/>
  <c r="O11" i="16"/>
  <c r="O37" i="16"/>
  <c r="P10" i="16"/>
  <c r="L8" i="16"/>
  <c r="O8" i="16" s="1"/>
  <c r="P8" i="15"/>
  <c r="O37" i="15"/>
  <c r="P10" i="15"/>
  <c r="P11" i="11"/>
  <c r="O37" i="13"/>
  <c r="P37" i="13"/>
  <c r="O10" i="15"/>
  <c r="L8" i="15"/>
  <c r="O8" i="15" s="1"/>
  <c r="P10" i="14"/>
  <c r="P37" i="14"/>
  <c r="O37" i="14"/>
  <c r="P10" i="12"/>
  <c r="O11" i="13"/>
  <c r="O10" i="14"/>
  <c r="L8" i="14"/>
  <c r="O8" i="14" s="1"/>
  <c r="M8" i="14"/>
  <c r="P8" i="14" s="1"/>
  <c r="M8" i="13"/>
  <c r="P8" i="13" s="1"/>
  <c r="O10" i="13"/>
  <c r="L8" i="13"/>
  <c r="O8" i="13" s="1"/>
  <c r="P37" i="11"/>
  <c r="M8" i="12"/>
  <c r="P8" i="12" s="1"/>
  <c r="O37" i="12"/>
  <c r="L8" i="11"/>
  <c r="O8" i="11" s="1"/>
  <c r="O10" i="12"/>
  <c r="L8" i="12"/>
  <c r="O8" i="12" s="1"/>
  <c r="P37" i="12"/>
  <c r="O37" i="10"/>
  <c r="P10" i="11"/>
  <c r="M8" i="11"/>
  <c r="P8" i="11" s="1"/>
  <c r="P10" i="8"/>
  <c r="P11" i="10"/>
  <c r="O11" i="10"/>
  <c r="O8" i="9"/>
  <c r="P14" i="6"/>
  <c r="O11" i="9"/>
  <c r="O37" i="9"/>
  <c r="P37" i="9"/>
  <c r="P10" i="10"/>
  <c r="M8" i="10"/>
  <c r="P8" i="10" s="1"/>
  <c r="O10" i="10"/>
  <c r="L8" i="10"/>
  <c r="O8" i="10" s="1"/>
  <c r="O14" i="6"/>
  <c r="P37" i="10"/>
  <c r="P8" i="8"/>
  <c r="P10" i="9"/>
  <c r="O10" i="9"/>
  <c r="P8" i="9"/>
  <c r="P11" i="8"/>
  <c r="O37" i="7"/>
  <c r="O37" i="8"/>
  <c r="P37" i="8"/>
  <c r="L8" i="8"/>
  <c r="O8" i="8" s="1"/>
  <c r="O10" i="7"/>
  <c r="M8" i="6"/>
  <c r="P8" i="6" s="1"/>
  <c r="P8" i="7"/>
  <c r="P37" i="7"/>
  <c r="P10" i="7"/>
  <c r="O14" i="7"/>
  <c r="L8" i="7"/>
  <c r="O8" i="7" s="1"/>
  <c r="O37" i="5"/>
  <c r="L8" i="6"/>
  <c r="O8" i="6" s="1"/>
  <c r="P37" i="5"/>
  <c r="O37" i="6"/>
  <c r="P11" i="5"/>
  <c r="P37" i="6"/>
  <c r="P10" i="4"/>
  <c r="L8" i="5"/>
  <c r="O8" i="5" s="1"/>
  <c r="P8" i="4"/>
  <c r="P10" i="5"/>
  <c r="M8" i="5"/>
  <c r="P8" i="5" s="1"/>
  <c r="O37" i="4"/>
  <c r="P37" i="4"/>
  <c r="O11" i="4"/>
  <c r="O14" i="4"/>
  <c r="P37" i="2"/>
  <c r="O10" i="4"/>
  <c r="L8" i="4"/>
  <c r="O8" i="4" s="1"/>
  <c r="O37" i="3"/>
  <c r="P10" i="3"/>
  <c r="O11" i="3"/>
  <c r="P11" i="2"/>
  <c r="M8" i="3"/>
  <c r="P8" i="3" s="1"/>
  <c r="P37" i="3"/>
  <c r="O10" i="3"/>
  <c r="L8" i="3"/>
  <c r="O8" i="3" s="1"/>
  <c r="O37" i="2"/>
  <c r="P8" i="2"/>
  <c r="O10" i="2"/>
  <c r="O8" i="2"/>
  <c r="P10" i="2"/>
  <c r="O37" i="1"/>
  <c r="O13" i="1"/>
  <c r="O444" i="1"/>
  <c r="N414" i="1"/>
  <c r="O414" i="1" s="1"/>
  <c r="N10" i="1"/>
  <c r="N8" i="1" s="1"/>
  <c r="P8" i="1" s="1"/>
  <c r="N11" i="1"/>
  <c r="P11" i="1" s="1"/>
  <c r="P37" i="1"/>
  <c r="L8" i="1"/>
  <c r="N28" i="1"/>
  <c r="O28" i="1" s="1"/>
  <c r="O30" i="1"/>
  <c r="P8" i="19" l="1"/>
  <c r="O11" i="1"/>
  <c r="O8" i="1"/>
  <c r="P10" i="1"/>
  <c r="O10" i="1"/>
</calcChain>
</file>

<file path=xl/sharedStrings.xml><?xml version="1.0" encoding="utf-8"?>
<sst xmlns="http://schemas.openxmlformats.org/spreadsheetml/2006/main" count="32634" uniqueCount="360">
  <si>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</si>
  <si>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</si>
  <si>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</si>
  <si>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</si>
  <si>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</si>
  <si>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</si>
  <si>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</si>
  <si>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</si>
  <si>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</si>
  <si>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</si>
  <si>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</si>
  <si>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</si>
  <si>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</si>
  <si>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</si>
  <si>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</si>
  <si>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</si>
  <si>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</si>
  <si>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</si>
  <si>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</si>
  <si>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</si>
  <si>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</si>
  <si>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</si>
  <si>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</si>
  <si>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</si>
  <si>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</si>
  <si>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</si>
  <si>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</si>
  <si>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</si>
  <si>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</si>
  <si>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</si>
  <si>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</si>
  <si>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</si>
  <si>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</si>
  <si>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</si>
  <si>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</si>
  <si>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</si>
  <si>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</si>
  <si>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</si>
  <si>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</si>
  <si>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</si>
  <si>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</si>
  <si>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</si>
  <si>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</si>
  <si>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</si>
  <si>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</si>
  <si>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</si>
  <si>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</si>
  <si>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</si>
  <si>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</si>
  <si>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</si>
  <si>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</si>
  <si>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</si>
  <si>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</si>
  <si>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</si>
  <si>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</si>
  <si>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</si>
  <si>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</si>
  <si>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</si>
  <si>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</si>
  <si>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</si>
  <si>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</si>
  <si>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</si>
  <si>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</si>
  <si>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</si>
  <si>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</si>
  <si>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</si>
  <si>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</si>
  <si>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</si>
  <si>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</si>
  <si>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</si>
  <si>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</si>
  <si>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</si>
  <si>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</si>
  <si>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</si>
  <si>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</si>
  <si>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</si>
  <si>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</si>
  <si>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</si>
  <si>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</si>
  <si>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</si>
  <si>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</si>
  <si>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</si>
  <si>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</si>
  <si>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</si>
  <si>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</si>
  <si>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</si>
  <si>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</si>
  <si>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</si>
  <si>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</si>
  <si>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</si>
  <si>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</si>
  <si>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</si>
  <si>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</si>
  <si>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</si>
  <si>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</si>
  <si>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</si>
  <si>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</si>
  <si>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</si>
  <si>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</si>
  <si>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</si>
  <si>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</si>
  <si>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</si>
  <si>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</si>
  <si>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</si>
  <si>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</si>
  <si>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</si>
  <si>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</si>
  <si>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</si>
  <si>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</si>
  <si>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</si>
  <si>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</si>
  <si>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</si>
  <si>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</si>
  <si>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</si>
  <si>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</si>
  <si>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</si>
  <si>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</si>
  <si>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</si>
  <si>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</si>
  <si>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</si>
  <si>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</si>
  <si>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</si>
  <si>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</si>
  <si>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</si>
  <si>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</si>
  <si>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</si>
  <si>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</si>
  <si>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</si>
  <si>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</si>
  <si>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</si>
  <si>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</si>
  <si>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</si>
  <si>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</si>
  <si>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</si>
  <si>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</si>
  <si>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</si>
  <si>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</si>
  <si>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</si>
  <si>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</si>
  <si>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</si>
  <si>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</si>
  <si>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</si>
  <si>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</si>
  <si>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</si>
  <si>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</si>
  <si>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</si>
  <si>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</si>
  <si>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</si>
  <si>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</si>
  <si>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</si>
  <si>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</si>
  <si>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</si>
  <si>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</si>
  <si>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</si>
  <si>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</si>
  <si>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</si>
  <si>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</si>
  <si>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</si>
  <si>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</si>
  <si>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</si>
  <si>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</si>
  <si>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</si>
  <si>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</si>
  <si>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</si>
  <si>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</si>
  <si>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</si>
  <si>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</si>
  <si>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</si>
  <si>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</si>
  <si>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</si>
  <si>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</si>
  <si>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</si>
  <si>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</si>
  <si>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</si>
  <si>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</si>
  <si>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</si>
  <si>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</si>
  <si>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</si>
  <si>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</si>
  <si>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</si>
  <si>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</si>
  <si>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</si>
  <si>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</si>
  <si>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</si>
  <si>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</si>
  <si>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</si>
  <si>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</si>
  <si>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</si>
  <si>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</si>
  <si>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</si>
  <si>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</si>
  <si>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</si>
  <si>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</si>
  <si>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</si>
  <si>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</si>
  <si>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</si>
  <si>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</si>
  <si>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</si>
  <si>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</si>
  <si>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</si>
  <si>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</si>
  <si>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</si>
  <si>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</si>
  <si>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</si>
  <si>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</si>
  <si>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</si>
  <si>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</si>
  <si>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</si>
  <si>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</si>
  <si>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</si>
  <si>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</si>
  <si>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</si>
  <si>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</si>
  <si>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</si>
  <si>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</si>
  <si>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</si>
  <si>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</si>
  <si>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</si>
  <si>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</si>
  <si>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</si>
  <si>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</si>
  <si>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</si>
  <si>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</si>
  <si>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</si>
  <si>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</si>
  <si>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</si>
  <si>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</si>
  <si>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</si>
  <si>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</si>
  <si>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</si>
  <si>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</si>
  <si>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</si>
  <si>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</si>
  <si>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</si>
  <si>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</si>
  <si>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</si>
  <si>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</si>
  <si>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</si>
  <si>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</si>
  <si>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</si>
  <si>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</si>
  <si>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</si>
  <si>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</si>
  <si>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</si>
  <si>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</si>
  <si>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</si>
  <si>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</si>
  <si>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</si>
  <si>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</si>
  <si>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</si>
  <si>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</si>
  <si>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</si>
  <si>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</si>
  <si>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</si>
  <si>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</si>
  <si>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</si>
  <si>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</si>
  <si>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</si>
  <si>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</si>
  <si>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</si>
  <si>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</si>
  <si>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</si>
  <si>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</si>
  <si>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</si>
  <si>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</si>
  <si>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</si>
  <si>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</si>
  <si>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</si>
  <si>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</si>
  <si>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</si>
  <si>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</si>
  <si>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</si>
  <si>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</si>
  <si>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</si>
  <si>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</si>
  <si>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</si>
  <si>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</si>
  <si>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</si>
  <si>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</si>
  <si>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</si>
  <si>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</si>
  <si>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</si>
  <si>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</si>
  <si>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</si>
  <si>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</si>
  <si>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</si>
  <si>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</si>
  <si>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</si>
  <si>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</si>
  <si>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</si>
  <si>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</si>
  <si>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</si>
  <si>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</si>
  <si>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</si>
  <si>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</si>
  <si>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</si>
  <si>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</si>
  <si>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</si>
  <si>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</si>
  <si>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</si>
  <si>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</si>
  <si>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</si>
  <si>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</si>
  <si>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</si>
  <si>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</si>
  <si>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</si>
  <si>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</si>
  <si>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</si>
  <si>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</si>
  <si>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</si>
  <si>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</si>
  <si>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</si>
  <si>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</si>
  <si>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</si>
  <si>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</si>
  <si>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</si>
  <si>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</si>
  <si>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</si>
  <si>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</si>
  <si>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</si>
  <si>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</si>
  <si>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</si>
  <si>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</si>
  <si>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</si>
  <si>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</si>
  <si>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</si>
  <si>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</si>
  <si>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</si>
  <si>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</si>
  <si>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</si>
  <si>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</si>
  <si>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</si>
  <si>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</si>
  <si>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</si>
  <si>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</si>
  <si>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</si>
  <si>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</si>
  <si>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</si>
  <si>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</si>
  <si>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</si>
  <si>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</si>
  <si>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</si>
  <si>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</si>
  <si>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</si>
  <si>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</si>
  <si>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</si>
  <si>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</si>
  <si>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</si>
  <si>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</si>
  <si>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</si>
  <si>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</si>
  <si>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</si>
  <si>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</si>
  <si>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</si>
  <si>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</si>
  <si>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</si>
  <si>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</si>
  <si>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</si>
  <si>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</si>
  <si>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ข้อมูล ณ วันที่ 15 ธันวาคม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</si>
</sst>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871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189" fontId="4" fillId="9" borderId="11" xfId="0" applyNumberFormat="1" applyFont="1" applyFill="1" applyBorder="1" applyAlignment="1"/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9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1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1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2" fillId="2" borderId="13" xfId="0" applyFont="1" applyFill="1" applyBorder="1" applyAlignment="1"/>
    <xf numFmtId="0" fontId="3" fillId="0" borderId="13" xfId="0" applyFont="1" applyBorder="1"/>
    <xf numFmtId="0" fontId="54" fillId="2" borderId="10" xfId="0" applyFont="1" applyFill="1" applyBorder="1" applyAlignment="1"/>
    <xf numFmtId="0" fontId="59" fillId="2" borderId="10" xfId="0" applyFont="1" applyFill="1" applyBorder="1" applyAlignment="1"/>
    <xf numFmtId="0" fontId="64" fillId="2" borderId="13" xfId="0" applyFont="1" applyFill="1" applyBorder="1" applyAlignment="1"/>
    <xf numFmtId="0" fontId="71" fillId="2" borderId="10" xfId="0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" borderId="13" xfId="0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189" fontId="4" fillId="38" borderId="11" xfId="0" applyNumberFormat="1" applyFont="1" applyFill="1" applyBorder="1" applyAlignment="1"/>
    <xf numFmtId="0" fontId="60" fillId="2" borderId="10" xfId="0" applyFont="1" applyFill="1" applyBorder="1" applyAlignment="1"/>
    <xf numFmtId="187" fontId="59" fillId="21" borderId="10" xfId="0" applyNumberFormat="1" applyFont="1" applyFill="1" applyBorder="1" applyAlignment="1"/>
    <xf numFmtId="0" fontId="27" fillId="2" borderId="13" xfId="0" quotePrefix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activeCell="G418" sqref="G418"/>
      <selection pane="bottomLeft" sqref="A1:P1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6.85546875" bestFit="1" customWidth="1"/>
    <col min="11" max="11" width="12.5703125" customWidth="1"/>
    <col min="12" max="12" width="24.7109375" bestFit="1" customWidth="1"/>
    <col min="13" max="14" width="23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1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153337823</v>
      </c>
      <c r="M8" s="22">
        <f t="shared" ca="1" si="0"/>
        <v>58173012</v>
      </c>
      <c r="N8" s="22">
        <f t="shared" ca="1" si="0"/>
        <v>27171098.879999999</v>
      </c>
      <c r="O8" s="22">
        <f t="shared" ref="O8:O16" ca="1" si="1">IF(L8&gt;0,N8*100/L8,0)</f>
        <v>17.719763035894935</v>
      </c>
      <c r="P8" s="22">
        <f t="shared" ref="P8:P16" ca="1" si="2">IF(M8&gt;0,N8*100/M8,0)</f>
        <v>46.707395656253794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153337823</v>
      </c>
      <c r="M10" s="30">
        <f t="shared" ca="1" si="4"/>
        <v>58173012</v>
      </c>
      <c r="N10" s="30">
        <f t="shared" ca="1" si="4"/>
        <v>27171098.879999999</v>
      </c>
      <c r="O10" s="30">
        <f t="shared" ca="1" si="1"/>
        <v>17.719763035894935</v>
      </c>
      <c r="P10" s="30">
        <f t="shared" ca="1" si="2"/>
        <v>46.707395656253794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139115623</v>
      </c>
      <c r="M11" s="38">
        <f t="shared" ca="1" si="5"/>
        <v>43953792</v>
      </c>
      <c r="N11" s="38">
        <f t="shared" ca="1" si="5"/>
        <v>18497893.879999999</v>
      </c>
      <c r="O11" s="38">
        <f t="shared" ca="1" si="1"/>
        <v>13.29677679695256</v>
      </c>
      <c r="P11" s="38">
        <f t="shared" ca="1" si="2"/>
        <v>42.084864668786715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139115623</v>
      </c>
      <c r="M13" s="45">
        <f t="shared" ca="1" si="7"/>
        <v>43953792</v>
      </c>
      <c r="N13" s="45">
        <f t="shared" ca="1" si="7"/>
        <v>18497893.879999999</v>
      </c>
      <c r="O13" s="45">
        <f t="shared" ca="1" si="1"/>
        <v>13.29677679695256</v>
      </c>
      <c r="P13" s="45">
        <f t="shared" ca="1" si="2"/>
        <v>42.084864668786715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14219220</v>
      </c>
      <c r="N14" s="38">
        <f t="shared" ca="1" si="8"/>
        <v>8673205</v>
      </c>
      <c r="O14" s="38">
        <f t="shared" ca="1" si="1"/>
        <v>60.98356794307491</v>
      </c>
      <c r="P14" s="38">
        <f t="shared" ca="1" si="2"/>
        <v>60.996348604213168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14219220</v>
      </c>
      <c r="N16" s="52">
        <f t="shared" ca="1" si="10"/>
        <v>8673205</v>
      </c>
      <c r="O16" s="52">
        <f t="shared" ca="1" si="1"/>
        <v>60.98356794307491</v>
      </c>
      <c r="P16" s="52">
        <f t="shared" ca="1" si="2"/>
        <v>60.996348604213168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58173012</v>
      </c>
      <c r="N18" s="22">
        <f t="shared" ca="1" si="11"/>
        <v>25085721.329999998</v>
      </c>
      <c r="O18" s="22">
        <f t="shared" ref="O18:O26" ca="1" si="12">IF(L18&gt;0,N18*100/L18,0)</f>
        <v>24.946209652518291</v>
      </c>
      <c r="P18" s="22">
        <f t="shared" ref="P18:P26" ca="1" si="13">IF(M18&gt;0,N18*100/M18,0)</f>
        <v>43.12261041253975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58173012</v>
      </c>
      <c r="N20" s="30">
        <f t="shared" ca="1" si="15"/>
        <v>25085721.329999998</v>
      </c>
      <c r="O20" s="30">
        <f t="shared" ca="1" si="12"/>
        <v>24.946209652518291</v>
      </c>
      <c r="P20" s="30">
        <f t="shared" ca="1" si="13"/>
        <v>43.12261041253975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43953792</v>
      </c>
      <c r="N21" s="38">
        <f t="shared" ca="1" si="16"/>
        <v>16412516.329999998</v>
      </c>
      <c r="O21" s="38">
        <f t="shared" ca="1" si="12"/>
        <v>19.009818299328039</v>
      </c>
      <c r="P21" s="38">
        <f t="shared" ca="1" si="13"/>
        <v>37.340387673491286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43953792</v>
      </c>
      <c r="N23" s="45">
        <f ca="1">N46+N58+N71+N93+N124+N137+N154+N186+N170+N266+N282+N303+N320+N333+N350+N394+N407</f>
        <v>16412516.329999998</v>
      </c>
      <c r="O23" s="45">
        <f t="shared" ca="1" si="12"/>
        <v>19.009818299328039</v>
      </c>
      <c r="P23" s="45">
        <f t="shared" ca="1" si="13"/>
        <v>37.340387673491286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14219220</v>
      </c>
      <c r="N24" s="38">
        <f t="shared" ca="1" si="18"/>
        <v>8673205</v>
      </c>
      <c r="O24" s="38">
        <f t="shared" ca="1" si="12"/>
        <v>60.98356794307491</v>
      </c>
      <c r="P24" s="38">
        <f t="shared" ca="1" si="13"/>
        <v>60.996348604213168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14219220</v>
      </c>
      <c r="N26" s="52">
        <f t="shared" ca="1" si="20"/>
        <v>8673205</v>
      </c>
      <c r="O26" s="52">
        <f t="shared" ca="1" si="12"/>
        <v>60.98356794307491</v>
      </c>
      <c r="P26" s="52">
        <f t="shared" ca="1" si="13"/>
        <v>60.996348604213168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52778573</v>
      </c>
      <c r="M28" s="22">
        <f t="shared" si="21"/>
        <v>0</v>
      </c>
      <c r="N28" s="22">
        <f t="shared" ca="1" si="21"/>
        <v>2085377.55</v>
      </c>
      <c r="O28" s="22">
        <f t="shared" ref="O28:O37" ca="1" si="22">IF(L28&gt;0,N28*100/L28,0)</f>
        <v>3.9511821397672118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52778573</v>
      </c>
      <c r="M30" s="30">
        <f t="shared" si="25"/>
        <v>0</v>
      </c>
      <c r="N30" s="30">
        <f t="shared" ca="1" si="25"/>
        <v>2085377.55</v>
      </c>
      <c r="O30" s="30">
        <f t="shared" ca="1" si="22"/>
        <v>3.9511821397672118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52778573</v>
      </c>
      <c r="M31" s="38">
        <f t="shared" si="26"/>
        <v>0</v>
      </c>
      <c r="N31" s="38">
        <f t="shared" ca="1" si="26"/>
        <v>2085377.55</v>
      </c>
      <c r="O31" s="38">
        <f t="shared" ca="1" si="22"/>
        <v>3.9511821397672118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52778573</v>
      </c>
      <c r="M33" s="45">
        <f t="shared" si="28"/>
        <v>0</v>
      </c>
      <c r="N33" s="45">
        <f t="shared" ca="1" si="28"/>
        <v>2085377.55</v>
      </c>
      <c r="O33" s="45">
        <f t="shared" ca="1" si="22"/>
        <v>3.9511821397672118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54990612</v>
      </c>
      <c r="N37" s="59">
        <f ca="1">N41+N53+N66+N88+N119+N132+N149+N165+N181+N261+N277+N298+N315+N328+N345+N389+N402</f>
        <v>25085721.329999998</v>
      </c>
      <c r="O37" s="59">
        <f t="shared" ca="1" si="22"/>
        <v>24.946209652518291</v>
      </c>
      <c r="P37" s="59">
        <f t="shared" ca="1" si="29"/>
        <v>45.618189028338143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6634300</v>
      </c>
      <c r="N41" s="85">
        <f t="shared" ca="1" si="33"/>
        <v>2836752.19</v>
      </c>
      <c r="O41" s="85">
        <f t="shared" ref="O41:O45" ca="1" si="34">IF(L41&gt;0,N41*100/L41,0)</f>
        <v>21.501216057968158</v>
      </c>
      <c r="P41" s="85">
        <f t="shared" ref="P41:P49" ca="1" si="35">IF(M41&gt;0,N41*100/M41,0)</f>
        <v>42.758877198800178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6634300</v>
      </c>
      <c r="N43" s="92">
        <f t="shared" ca="1" si="37"/>
        <v>2836752.19</v>
      </c>
      <c r="O43" s="92">
        <f t="shared" ca="1" si="34"/>
        <v>21.501216057968158</v>
      </c>
      <c r="P43" s="92">
        <f t="shared" ca="1" si="35"/>
        <v>42.758877198800178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6634300</v>
      </c>
      <c r="N44" s="38">
        <f t="shared" ca="1" si="38"/>
        <v>2836752.19</v>
      </c>
      <c r="O44" s="38">
        <f t="shared" ca="1" si="34"/>
        <v>21.501216057968158</v>
      </c>
      <c r="P44" s="38">
        <f t="shared" ca="1" si="35"/>
        <v>42.758877198800178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"),6634300)</f>
        <v>6634300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"),2836752.19)</f>
        <v>2836752.19</v>
      </c>
      <c r="O46" s="45">
        <f ca="1">IF(M46&gt;0,N46*100/M46,0)</f>
        <v>42.758877198800178</v>
      </c>
      <c r="P46" s="45">
        <f t="shared" ca="1" si="35"/>
        <v>42.758877198800178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17332830</v>
      </c>
      <c r="N53" s="116">
        <f t="shared" ca="1" si="41"/>
        <v>8587759.5099999998</v>
      </c>
      <c r="O53" s="116">
        <f t="shared" ref="O53:O61" ca="1" si="42">IF(L53&gt;0,N53*100/L53,0)</f>
        <v>34.342658431342755</v>
      </c>
      <c r="P53" s="116">
        <f t="shared" ref="P53:P61" ca="1" si="43">IF(M53&gt;0,N53*100/M53,0)</f>
        <v>49.546205149418761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17332830</v>
      </c>
      <c r="N55" s="123">
        <f t="shared" ca="1" si="45"/>
        <v>8587759.5099999998</v>
      </c>
      <c r="O55" s="123">
        <f t="shared" ca="1" si="42"/>
        <v>34.342658431342755</v>
      </c>
      <c r="P55" s="123">
        <f t="shared" ca="1" si="43"/>
        <v>49.546205149418761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8262030</v>
      </c>
      <c r="N56" s="38">
        <f t="shared" ca="1" si="46"/>
        <v>4536059.51</v>
      </c>
      <c r="O56" s="38">
        <f t="shared" ca="1" si="42"/>
        <v>28.465836486749378</v>
      </c>
      <c r="P56" s="38">
        <f t="shared" ca="1" si="43"/>
        <v>54.902481714542311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"),8262030)</f>
        <v>8262030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"),4536059.51)</f>
        <v>4536059.51</v>
      </c>
      <c r="O58" s="45">
        <f t="shared" ca="1" si="42"/>
        <v>28.465836486749378</v>
      </c>
      <c r="P58" s="45">
        <f t="shared" ca="1" si="43"/>
        <v>54.902481714542311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9070800</v>
      </c>
      <c r="N59" s="38">
        <f t="shared" ca="1" si="47"/>
        <v>4051700</v>
      </c>
      <c r="O59" s="38">
        <f t="shared" ca="1" si="42"/>
        <v>44.666519678095028</v>
      </c>
      <c r="P59" s="38">
        <f t="shared" ca="1" si="43"/>
        <v>44.667504519998239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"),9070800)</f>
        <v>9070800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"),4051700)</f>
        <v>4051700</v>
      </c>
      <c r="O61" s="52">
        <f t="shared" ca="1" si="42"/>
        <v>44.666519678095028</v>
      </c>
      <c r="P61" s="52">
        <f t="shared" ca="1" si="43"/>
        <v>44.667504519998239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2</v>
      </c>
      <c r="K64" s="145">
        <f t="shared" ref="K64:K65" ca="1" si="49">IF(I64&gt;0,J64*100/I64,0)</f>
        <v>11.764705882352942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80</v>
      </c>
      <c r="K65" s="145">
        <f t="shared" ca="1" si="49"/>
        <v>10.526315789473685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6244000</v>
      </c>
      <c r="N66" s="155">
        <f t="shared" ca="1" si="51"/>
        <v>2159012.39</v>
      </c>
      <c r="O66" s="155">
        <f t="shared" ref="O66:O74" ca="1" si="52">IF(L66&gt;0,N66*100/L66,0)</f>
        <v>16.693825021263436</v>
      </c>
      <c r="P66" s="155">
        <f t="shared" ref="P66:P74" ca="1" si="53">IF(M66&gt;0,N66*100/M66,0)</f>
        <v>34.577392536835362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6244000</v>
      </c>
      <c r="N68" s="45">
        <f t="shared" ca="1" si="55"/>
        <v>2159012.39</v>
      </c>
      <c r="O68" s="45">
        <f t="shared" ca="1" si="52"/>
        <v>16.693825021263436</v>
      </c>
      <c r="P68" s="45">
        <f t="shared" ca="1" si="53"/>
        <v>34.577392536835362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6244000</v>
      </c>
      <c r="N69" s="38">
        <f t="shared" ca="1" si="56"/>
        <v>2159012.39</v>
      </c>
      <c r="O69" s="38">
        <f t="shared" ca="1" si="52"/>
        <v>16.693825021263436</v>
      </c>
      <c r="P69" s="38">
        <f t="shared" ca="1" si="53"/>
        <v>34.577392536835362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"),6244000)</f>
        <v>6244000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"),2159012.39)</f>
        <v>2159012.39</v>
      </c>
      <c r="O71" s="45">
        <f t="shared" ca="1" si="52"/>
        <v>16.693825021263436</v>
      </c>
      <c r="P71" s="45">
        <f t="shared" ca="1" si="53"/>
        <v>34.577392536835362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2</v>
      </c>
      <c r="K76" s="163">
        <f t="shared" ref="K76:K84" ca="1" si="59">IF(I76&gt;0,J76*100/I76,0)</f>
        <v>11.764705882352942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80</v>
      </c>
      <c r="K77" s="163">
        <f t="shared" ca="1" si="59"/>
        <v>10.526315789473685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"),0)</f>
        <v>0</v>
      </c>
      <c r="K78" s="163">
        <f t="shared" ca="1" si="59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"),0)</f>
        <v>0</v>
      </c>
      <c r="K79" s="163">
        <f t="shared" ca="1" si="59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"),1)</f>
        <v>1</v>
      </c>
      <c r="K80" s="163">
        <f t="shared" ca="1" si="59"/>
        <v>16.666666666666668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"),40)</f>
        <v>40</v>
      </c>
      <c r="K81" s="163">
        <f t="shared" ca="1" si="59"/>
        <v>14.814814814814815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"),1)</f>
        <v>1</v>
      </c>
      <c r="K82" s="163">
        <f t="shared" ca="1" si="59"/>
        <v>12.5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"),40)</f>
        <v>40</v>
      </c>
      <c r="K83" s="163">
        <f t="shared" ca="1" si="59"/>
        <v>10.723860589812332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135</v>
      </c>
      <c r="K86" s="145">
        <f t="shared" ref="K86:K87" ca="1" si="62">IF(I86&gt;0,J86*100/I86,0)</f>
        <v>16.981132075471699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45</v>
      </c>
      <c r="K87" s="145">
        <f t="shared" ca="1" si="62"/>
        <v>16.981132075471699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1044110</v>
      </c>
      <c r="N88" s="155">
        <f t="shared" ca="1" si="64"/>
        <v>223576.88</v>
      </c>
      <c r="O88" s="155">
        <f t="shared" ref="O88:O96" ca="1" si="65">IF(L88&gt;0,N88*100/L88,0)</f>
        <v>9.723862460095857</v>
      </c>
      <c r="P88" s="155">
        <f t="shared" ref="P88:P96" ca="1" si="66">IF(M88&gt;0,N88*100/M88,0)</f>
        <v>21.413153786478436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1044110</v>
      </c>
      <c r="N90" s="45">
        <f t="shared" ca="1" si="68"/>
        <v>223576.88</v>
      </c>
      <c r="O90" s="45">
        <f t="shared" ca="1" si="65"/>
        <v>9.723862460095857</v>
      </c>
      <c r="P90" s="45">
        <f t="shared" ca="1" si="66"/>
        <v>21.413153786478436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1044110</v>
      </c>
      <c r="N91" s="38">
        <f t="shared" ca="1" si="69"/>
        <v>223576.88</v>
      </c>
      <c r="O91" s="38">
        <f t="shared" ca="1" si="65"/>
        <v>9.723862460095857</v>
      </c>
      <c r="P91" s="38">
        <f t="shared" ca="1" si="66"/>
        <v>21.413153786478436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"),1044110)</f>
        <v>1044110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"),223576.88)</f>
        <v>223576.88</v>
      </c>
      <c r="O93" s="45">
        <f t="shared" ca="1" si="65"/>
        <v>9.723862460095857</v>
      </c>
      <c r="P93" s="45">
        <f t="shared" ca="1" si="66"/>
        <v>21.413153786478436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135</v>
      </c>
      <c r="K98" s="38">
        <f t="shared" ref="K98:K100" ca="1" si="71">IF(I98&gt;0,J98*100/I98,0)</f>
        <v>16.981132075471699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45</v>
      </c>
      <c r="K99" s="38">
        <f t="shared" ca="1" si="71"/>
        <v>16.981132075471699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0</v>
      </c>
      <c r="K100" s="38">
        <f t="shared" ca="1" si="71"/>
        <v>0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"),135)</f>
        <v>135</v>
      </c>
      <c r="K102" s="38">
        <f t="shared" ref="K102:K104" ca="1" si="72">IF(I102&gt;0,J102*100/I102,0)</f>
        <v>16.981132075471699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"),55)</f>
        <v>55</v>
      </c>
      <c r="K103" s="38">
        <f t="shared" ca="1" si="72"/>
        <v>20.754716981132077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"),45)</f>
        <v>45</v>
      </c>
      <c r="K104" s="38">
        <f t="shared" ca="1" si="72"/>
        <v>16.981132075471699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"),0)</f>
        <v>0</v>
      </c>
      <c r="K106" s="38">
        <f t="shared" ref="K106:K107" ca="1" si="73">IF(I106&gt;0,J106*100/I106,0)</f>
        <v>0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"),0)</f>
        <v>0</v>
      </c>
      <c r="K107" s="38">
        <f t="shared" ca="1" si="73"/>
        <v>0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"),0)</f>
        <v>0</v>
      </c>
      <c r="K109" s="38">
        <f t="shared" ref="K109:K116" ca="1" si="74">IF(I109&gt;0,J109*100/I109,0)</f>
        <v>0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"),0)</f>
        <v>0</v>
      </c>
      <c r="K110" s="38">
        <f t="shared" ca="1" si="74"/>
        <v>0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0</v>
      </c>
      <c r="K111" s="195">
        <f t="shared" ca="1" si="74"/>
        <v>0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0</v>
      </c>
      <c r="K112" s="195">
        <f t="shared" ca="1" si="74"/>
        <v>0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"),0)</f>
        <v>0</v>
      </c>
      <c r="K113" s="38">
        <f t="shared" ca="1" si="74"/>
        <v>0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"),0)</f>
        <v>0</v>
      </c>
      <c r="K114" s="38">
        <f t="shared" ca="1" si="74"/>
        <v>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"),0)</f>
        <v>0</v>
      </c>
      <c r="K115" s="38">
        <f t="shared" ca="1" si="74"/>
        <v>0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507800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99.9970460811343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507800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99.9970460811343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507800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99.9970460811343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"),507800)</f>
        <v>507800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99.9970460811343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83">I146</f>
        <v>14</v>
      </c>
      <c r="J130" s="144">
        <f t="shared" ca="1" si="83"/>
        <v>5</v>
      </c>
      <c r="K130" s="145">
        <f t="shared" ref="K130:K131" ca="1" si="84">IF(I130&gt;0,J130*100/I130,0)</f>
        <v>35.714285714285715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0</v>
      </c>
      <c r="K131" s="145">
        <f t="shared" ca="1" si="84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2039100</v>
      </c>
      <c r="N132" s="155">
        <f t="shared" ca="1" si="86"/>
        <v>1214236</v>
      </c>
      <c r="O132" s="155">
        <f t="shared" ref="O132:O140" ca="1" si="87">IF(L132&gt;0,N132*100/L132,0)</f>
        <v>49.347752756475124</v>
      </c>
      <c r="P132" s="155">
        <f t="shared" ref="P132:P140" ca="1" si="88">IF(M132&gt;0,N132*100/M132,0)</f>
        <v>59.547643568240893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2039100</v>
      </c>
      <c r="N134" s="45">
        <f t="shared" ca="1" si="90"/>
        <v>1214236</v>
      </c>
      <c r="O134" s="45">
        <f t="shared" ca="1" si="87"/>
        <v>49.347752756475124</v>
      </c>
      <c r="P134" s="45">
        <f t="shared" ca="1" si="88"/>
        <v>59.547643568240893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597100</v>
      </c>
      <c r="N135" s="38">
        <f t="shared" ca="1" si="91"/>
        <v>184236</v>
      </c>
      <c r="O135" s="38">
        <f t="shared" ca="1" si="87"/>
        <v>18.087711202961014</v>
      </c>
      <c r="P135" s="38">
        <f t="shared" ca="1" si="88"/>
        <v>30.855133143527048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"),597100)</f>
        <v>597100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"),184236)</f>
        <v>184236</v>
      </c>
      <c r="O137" s="45">
        <f t="shared" ca="1" si="87"/>
        <v>18.087711202961014</v>
      </c>
      <c r="P137" s="45">
        <f t="shared" ca="1" si="88"/>
        <v>30.855133143527048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1030000</v>
      </c>
      <c r="O138" s="38">
        <f t="shared" ca="1" si="87"/>
        <v>71.428571428571431</v>
      </c>
      <c r="P138" s="38">
        <f t="shared" ca="1" si="88"/>
        <v>71.428571428571431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"),1030000)</f>
        <v>1030000</v>
      </c>
      <c r="O140" s="45">
        <f t="shared" ca="1" si="87"/>
        <v>71.428571428571431</v>
      </c>
      <c r="P140" s="45">
        <f t="shared" ca="1" si="88"/>
        <v>71.428571428571431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0"/>
      <c r="D142" s="211" t="s">
        <v>71</v>
      </c>
      <c r="E142" s="212"/>
      <c r="F142" s="33"/>
      <c r="G142" s="213"/>
      <c r="H142" s="168"/>
      <c r="I142" s="37"/>
      <c r="J142" s="214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"),20)</f>
        <v>20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0"/>
      <c r="D143" s="215" t="s">
        <v>72</v>
      </c>
      <c r="E143" s="212"/>
      <c r="F143" s="33"/>
      <c r="G143" s="213"/>
      <c r="H143" s="168" t="s">
        <v>35</v>
      </c>
      <c r="I143" s="37">
        <f ca="1">I145</f>
        <v>140</v>
      </c>
      <c r="J143" s="37">
        <f ca="1">IF(AND(J144&gt;=I144,J145&gt;=I145),J145,0)</f>
        <v>0</v>
      </c>
      <c r="K143" s="38">
        <f t="shared" ref="K143:K146" ca="1" si="93">IF(I143&gt;0,J143*100/I143,0)</f>
        <v>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0"/>
      <c r="D144" s="178"/>
      <c r="E144" s="211" t="s">
        <v>73</v>
      </c>
      <c r="F144" s="33"/>
      <c r="G144" s="213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"),10)</f>
        <v>10</v>
      </c>
      <c r="K144" s="38">
        <f t="shared" ca="1" si="93"/>
        <v>14.285714285714286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0"/>
      <c r="D145" s="178"/>
      <c r="E145" s="211" t="s">
        <v>74</v>
      </c>
      <c r="F145" s="33"/>
      <c r="G145" s="213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"),0)</f>
        <v>0</v>
      </c>
      <c r="K145" s="38">
        <f t="shared" ca="1" si="93"/>
        <v>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0"/>
      <c r="D146" s="211" t="s">
        <v>75</v>
      </c>
      <c r="E146" s="212"/>
      <c r="F146" s="33"/>
      <c r="G146" s="213"/>
      <c r="H146" s="168" t="s">
        <v>69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"),5)</f>
        <v>5</v>
      </c>
      <c r="K146" s="38">
        <f t="shared" ca="1" si="93"/>
        <v>35.714285714285715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139" t="s">
        <v>77</v>
      </c>
      <c r="C148" s="208"/>
      <c r="D148" s="208"/>
      <c r="E148" s="217"/>
      <c r="F148" s="218"/>
      <c r="G148" s="219"/>
      <c r="H148" s="220" t="s">
        <v>35</v>
      </c>
      <c r="I148" s="144">
        <f t="shared" ref="I148:J148" ca="1" si="94">I159</f>
        <v>130</v>
      </c>
      <c r="J148" s="144">
        <f t="shared" ca="1" si="94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65000</v>
      </c>
      <c r="N149" s="155">
        <f t="shared" ca="1" si="95"/>
        <v>3290</v>
      </c>
      <c r="O149" s="155">
        <f t="shared" ref="O149:O157" ca="1" si="96">IF(L149&gt;0,N149*100/L149,0)</f>
        <v>5.0615384615384613</v>
      </c>
      <c r="P149" s="155">
        <f t="shared" ref="P149:P157" ca="1" si="97">IF(M149&gt;0,N149*100/M149,0)</f>
        <v>5.0615384615384613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65000</v>
      </c>
      <c r="N151" s="45">
        <f t="shared" ca="1" si="99"/>
        <v>3290</v>
      </c>
      <c r="O151" s="45">
        <f t="shared" ca="1" si="96"/>
        <v>5.0615384615384613</v>
      </c>
      <c r="P151" s="45">
        <f t="shared" ca="1" si="97"/>
        <v>5.0615384615384613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65000</v>
      </c>
      <c r="N152" s="38">
        <f t="shared" ca="1" si="100"/>
        <v>3290</v>
      </c>
      <c r="O152" s="38">
        <f t="shared" ca="1" si="96"/>
        <v>5.0615384615384613</v>
      </c>
      <c r="P152" s="38">
        <f t="shared" ca="1" si="97"/>
        <v>5.0615384615384613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"),65000)</f>
        <v>65000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"),3290)</f>
        <v>3290</v>
      </c>
      <c r="O154" s="45">
        <f t="shared" ca="1" si="96"/>
        <v>5.0615384615384613</v>
      </c>
      <c r="P154" s="45">
        <f t="shared" ca="1" si="97"/>
        <v>5.0615384615384613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0"/>
      <c r="D159" s="215" t="s">
        <v>78</v>
      </c>
      <c r="E159" s="212"/>
      <c r="F159" s="33"/>
      <c r="G159" s="213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"),0)</f>
        <v>0</v>
      </c>
      <c r="K159" s="38">
        <f ca="1">IF(I159&gt;0,J159*100/I159,0)</f>
        <v>0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229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102">I174+I177</f>
        <v>212</v>
      </c>
      <c r="J164" s="252">
        <f t="shared" ca="1" si="102"/>
        <v>68</v>
      </c>
      <c r="K164" s="253">
        <f ca="1">IF(I164&gt;0,J164*100/I164,0)</f>
        <v>32.075471698113205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422060</v>
      </c>
      <c r="N165" s="155">
        <f t="shared" ca="1" si="103"/>
        <v>213155</v>
      </c>
      <c r="O165" s="155">
        <f t="shared" ref="O165:O173" ca="1" si="104">IF(L165&gt;0,N165*100/L165,0)</f>
        <v>50.503482917120792</v>
      </c>
      <c r="P165" s="155">
        <f t="shared" ref="P165:P173" ca="1" si="105">IF(M165&gt;0,N165*100/M165,0)</f>
        <v>50.503482917120792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422060</v>
      </c>
      <c r="N167" s="45">
        <f t="shared" ca="1" si="107"/>
        <v>213155</v>
      </c>
      <c r="O167" s="45">
        <f t="shared" ca="1" si="104"/>
        <v>50.503482917120792</v>
      </c>
      <c r="P167" s="45">
        <f t="shared" ca="1" si="105"/>
        <v>50.503482917120792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422060</v>
      </c>
      <c r="N168" s="38">
        <f t="shared" ca="1" si="108"/>
        <v>213155</v>
      </c>
      <c r="O168" s="38">
        <f t="shared" ca="1" si="104"/>
        <v>50.503482917120792</v>
      </c>
      <c r="P168" s="38">
        <f t="shared" ca="1" si="105"/>
        <v>50.503482917120792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"),422060)</f>
        <v>422060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"),213155)</f>
        <v>213155</v>
      </c>
      <c r="O170" s="45">
        <f t="shared" ca="1" si="104"/>
        <v>50.503482917120792</v>
      </c>
      <c r="P170" s="45">
        <f t="shared" ca="1" si="105"/>
        <v>50.503482917120792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110">I176</f>
        <v>212</v>
      </c>
      <c r="J174" s="260">
        <f t="shared" ca="1" si="110"/>
        <v>68</v>
      </c>
      <c r="K174" s="261">
        <f ca="1">IF(I174&gt;0,J174*100/I174,0)</f>
        <v>32.075471698113205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2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"),68)</f>
        <v>68</v>
      </c>
      <c r="K176" s="163">
        <f ca="1">IF(I176&gt;0,J176*100/I176,0)</f>
        <v>32.075471698113205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7" t="s">
        <v>87</v>
      </c>
      <c r="E179" s="178"/>
      <c r="F179" s="268"/>
      <c r="G179" s="179"/>
      <c r="H179" s="43" t="s">
        <v>35</v>
      </c>
      <c r="I179" s="37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111">I225+I226</f>
        <v>120</v>
      </c>
      <c r="J180" s="252">
        <f t="shared" ca="1" si="111"/>
        <v>10</v>
      </c>
      <c r="K180" s="253">
        <f ca="1">IF(I180&gt;0,J180*100/I180,0)</f>
        <v>8.3333333333333339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1889000</v>
      </c>
      <c r="N181" s="155">
        <f t="shared" ca="1" si="112"/>
        <v>397237.02</v>
      </c>
      <c r="O181" s="155">
        <f t="shared" ref="O181:O189" ca="1" si="113">IF(L181&gt;0,N181*100/L181,0)</f>
        <v>10.820064282406777</v>
      </c>
      <c r="P181" s="155">
        <f t="shared" ref="P181:P189" ca="1" si="114">IF(M181&gt;0,N181*100/M181,0)</f>
        <v>21.028958178930651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1889000</v>
      </c>
      <c r="N183" s="45">
        <f t="shared" ca="1" si="116"/>
        <v>397237.02</v>
      </c>
      <c r="O183" s="45">
        <f t="shared" ca="1" si="113"/>
        <v>10.820064282406777</v>
      </c>
      <c r="P183" s="45">
        <f t="shared" ca="1" si="114"/>
        <v>21.028958178930651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1889000</v>
      </c>
      <c r="N184" s="38">
        <f t="shared" ca="1" si="117"/>
        <v>397237.02</v>
      </c>
      <c r="O184" s="38">
        <f t="shared" ca="1" si="113"/>
        <v>10.820064282406777</v>
      </c>
      <c r="P184" s="38">
        <f t="shared" ca="1" si="114"/>
        <v>21.028958178930651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"),1889000)</f>
        <v>1889000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"),397237.02)</f>
        <v>397237.02</v>
      </c>
      <c r="O186" s="45">
        <f t="shared" ca="1" si="113"/>
        <v>10.820064282406777</v>
      </c>
      <c r="P186" s="45">
        <f t="shared" ca="1" si="114"/>
        <v>21.028958178930651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119">I193</f>
        <v>80</v>
      </c>
      <c r="J190" s="271">
        <f t="shared" ca="1" si="119"/>
        <v>2</v>
      </c>
      <c r="K190" s="272">
        <f ca="1">IF(I190&gt;0,J190*100/I190,0)</f>
        <v>2.5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273" t="s">
        <v>17</v>
      </c>
      <c r="E191" s="148"/>
      <c r="F191" s="148"/>
      <c r="G191" s="151"/>
      <c r="H191" s="274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5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"),0)</f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"),2)</f>
        <v>2</v>
      </c>
      <c r="K193" s="38">
        <f ca="1">IF(I193&gt;0,J193*100/I193,0)</f>
        <v>2.5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6" t="s">
        <v>35</v>
      </c>
      <c r="I194" s="37"/>
      <c r="J194" s="37">
        <f ca="1">J195+J196</f>
        <v>146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6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"),146)</f>
        <v>146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6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120">I204</f>
        <v>58</v>
      </c>
      <c r="J197" s="271">
        <f t="shared" ca="1" si="120"/>
        <v>3</v>
      </c>
      <c r="K197" s="272">
        <f ca="1">IF(I197&gt;0,J197*100/I197,0)</f>
        <v>5.1724137931034484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273" t="s">
        <v>17</v>
      </c>
      <c r="E198" s="148"/>
      <c r="F198" s="148"/>
      <c r="G198" s="151"/>
      <c r="H198" s="274" t="s">
        <v>12</v>
      </c>
      <c r="I198" s="278"/>
      <c r="J198" s="278"/>
      <c r="K198" s="279"/>
      <c r="L198" s="155">
        <f ca="1">L199+L200+L201+L202</f>
        <v>789000</v>
      </c>
      <c r="M198" s="155"/>
      <c r="N198" s="155">
        <f ca="1">N199+N200+N201+N202</f>
        <v>25554</v>
      </c>
      <c r="O198" s="155">
        <f ca="1">IF(L198&gt;0,N198*100/L198,0)</f>
        <v>3.2387832699619774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2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"),1720)</f>
        <v>1720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15" t="s">
        <v>98</v>
      </c>
      <c r="E200" s="33"/>
      <c r="F200" s="33"/>
      <c r="G200" s="35"/>
      <c r="H200" s="284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2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"),23834)</f>
        <v>23834</v>
      </c>
      <c r="O200" s="38"/>
      <c r="P200" s="38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15" t="s">
        <v>99</v>
      </c>
      <c r="E201" s="33"/>
      <c r="F201" s="33"/>
      <c r="G201" s="35"/>
      <c r="H201" s="284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2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"),0)</f>
        <v>0</v>
      </c>
      <c r="O201" s="38"/>
      <c r="P201" s="38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15" t="s">
        <v>100</v>
      </c>
      <c r="E202" s="33"/>
      <c r="F202" s="33"/>
      <c r="G202" s="35"/>
      <c r="H202" s="284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2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"),0)</f>
        <v>0</v>
      </c>
      <c r="O202" s="38"/>
      <c r="P202" s="38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69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"),3)</f>
        <v>3</v>
      </c>
      <c r="K204" s="163">
        <f ca="1">IF(I204&gt;0,J204*100/I204,0)</f>
        <v>5.1724137931034484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6"/>
      <c r="G206" s="287"/>
      <c r="H206" s="288" t="s">
        <v>96</v>
      </c>
      <c r="I206" s="269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"),0)</f>
        <v>0</v>
      </c>
      <c r="K206" s="163">
        <f t="shared" ref="K206:K208" ca="1" si="121">IF(I206&gt;0,J206*100/I206,0)</f>
        <v>0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89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"),0)</f>
        <v>0</v>
      </c>
      <c r="K207" s="163">
        <f t="shared" ca="1" si="121"/>
        <v>0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22">I215</f>
        <v>27</v>
      </c>
      <c r="J208" s="271">
        <f t="shared" ca="1" si="122"/>
        <v>0</v>
      </c>
      <c r="K208" s="272">
        <f t="shared" ca="1" si="121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273" t="s">
        <v>17</v>
      </c>
      <c r="E209" s="148"/>
      <c r="F209" s="148"/>
      <c r="G209" s="151"/>
      <c r="H209" s="274" t="s">
        <v>12</v>
      </c>
      <c r="I209" s="278"/>
      <c r="J209" s="278"/>
      <c r="K209" s="279"/>
      <c r="L209" s="155">
        <f ca="1">L210+L211+L212</f>
        <v>378000</v>
      </c>
      <c r="M209" s="155"/>
      <c r="N209" s="155">
        <f ca="1"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11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2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"),0)</f>
        <v>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15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2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"),0)</f>
        <v>0</v>
      </c>
      <c r="O211" s="38"/>
      <c r="P211" s="38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15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2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"),0)</f>
        <v>0</v>
      </c>
      <c r="O212" s="38"/>
      <c r="P212" s="38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"),0)</f>
        <v>0</v>
      </c>
      <c r="K214" s="38">
        <f t="shared" ref="K214:K216" ca="1" si="123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"),0)</f>
        <v>0</v>
      </c>
      <c r="K215" s="38">
        <f t="shared" ca="1" si="123"/>
        <v>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24">I224</f>
        <v>858800</v>
      </c>
      <c r="J216" s="271">
        <f t="shared" ca="1" si="124"/>
        <v>0</v>
      </c>
      <c r="K216" s="272">
        <f t="shared" ca="1" si="123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273" t="s">
        <v>17</v>
      </c>
      <c r="E217" s="148"/>
      <c r="F217" s="148"/>
      <c r="G217" s="151"/>
      <c r="H217" s="274" t="s">
        <v>12</v>
      </c>
      <c r="I217" s="278"/>
      <c r="J217" s="278"/>
      <c r="K217" s="279"/>
      <c r="L217" s="155">
        <f ca="1">L218+L219+L220</f>
        <v>363300</v>
      </c>
      <c r="M217" s="155"/>
      <c r="N217" s="155">
        <f ca="1"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11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2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"),0)</f>
        <v>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15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2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"),0)</f>
        <v>0</v>
      </c>
      <c r="O219" s="38"/>
      <c r="P219" s="38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15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2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"),0)</f>
        <v>0</v>
      </c>
      <c r="O220" s="38"/>
      <c r="P220" s="38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1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"),0)</f>
        <v>0</v>
      </c>
      <c r="K223" s="163">
        <f t="shared" ref="K223:K226" ca="1" si="125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1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"),10)</f>
        <v>10</v>
      </c>
      <c r="K225" s="163">
        <f t="shared" ca="1" si="125"/>
        <v>25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2"/>
      <c r="B226" s="293"/>
      <c r="C226" s="294" t="s">
        <v>115</v>
      </c>
      <c r="D226" s="295"/>
      <c r="E226" s="295"/>
      <c r="F226" s="295"/>
      <c r="G226" s="296"/>
      <c r="H226" s="297" t="s">
        <v>35</v>
      </c>
      <c r="I226" s="298">
        <f t="shared" ref="I226:J226" ca="1" si="126">I237+I248</f>
        <v>80</v>
      </c>
      <c r="J226" s="298">
        <f t="shared" ca="1" si="126"/>
        <v>0</v>
      </c>
      <c r="K226" s="299">
        <f t="shared" ca="1" si="125"/>
        <v>0</v>
      </c>
      <c r="L226" s="300"/>
      <c r="M226" s="300"/>
      <c r="N226" s="300"/>
      <c r="O226" s="300"/>
      <c r="P226" s="300"/>
      <c r="Q226" s="301"/>
      <c r="R226" s="301"/>
      <c r="S226" s="301"/>
      <c r="T226" s="301"/>
      <c r="U226" s="301"/>
      <c r="V226" s="301"/>
      <c r="W226" s="301"/>
      <c r="X226" s="301"/>
      <c r="Y226" s="301"/>
      <c r="Z226" s="301"/>
    </row>
    <row r="227" spans="1:26" ht="19.5">
      <c r="A227" s="302"/>
      <c r="B227" s="303"/>
      <c r="C227" s="304" t="s">
        <v>16</v>
      </c>
      <c r="D227" s="305" t="s">
        <v>17</v>
      </c>
      <c r="E227" s="303"/>
      <c r="F227" s="303"/>
      <c r="G227" s="306"/>
      <c r="H227" s="307" t="s">
        <v>12</v>
      </c>
      <c r="I227" s="308"/>
      <c r="J227" s="308"/>
      <c r="K227" s="309"/>
      <c r="L227" s="310">
        <f t="shared" ref="L227:L231" ca="1" si="127">L238+L249</f>
        <v>556000</v>
      </c>
      <c r="M227" s="310"/>
      <c r="N227" s="310">
        <f t="shared" ref="N227:N231" ca="1" si="128">N238+N249</f>
        <v>50800</v>
      </c>
      <c r="O227" s="310">
        <f ca="1">IF(L227&gt;0,N227*100/L227,0)</f>
        <v>9.1366906474820144</v>
      </c>
      <c r="P227" s="311"/>
      <c r="Q227" s="312"/>
      <c r="R227" s="312"/>
      <c r="S227" s="312"/>
      <c r="T227" s="312"/>
      <c r="U227" s="312"/>
      <c r="V227" s="312"/>
      <c r="W227" s="312"/>
      <c r="X227" s="312"/>
      <c r="Y227" s="312"/>
      <c r="Z227" s="312"/>
    </row>
    <row r="228" spans="1:26" ht="18.75">
      <c r="A228" s="313"/>
      <c r="B228" s="314"/>
      <c r="C228" s="315"/>
      <c r="D228" s="316" t="s">
        <v>97</v>
      </c>
      <c r="E228" s="315"/>
      <c r="F228" s="315"/>
      <c r="G228" s="317"/>
      <c r="H228" s="318" t="s">
        <v>12</v>
      </c>
      <c r="I228" s="319"/>
      <c r="J228" s="319"/>
      <c r="K228" s="320"/>
      <c r="L228" s="321">
        <f t="shared" ca="1" si="127"/>
        <v>326000</v>
      </c>
      <c r="M228" s="321"/>
      <c r="N228" s="321">
        <f t="shared" ca="1" si="128"/>
        <v>14600</v>
      </c>
      <c r="O228" s="321"/>
      <c r="P228" s="321"/>
      <c r="Q228" s="312"/>
      <c r="R228" s="312"/>
      <c r="S228" s="312"/>
      <c r="T228" s="312"/>
      <c r="U228" s="312"/>
      <c r="V228" s="312"/>
      <c r="W228" s="312"/>
      <c r="X228" s="312"/>
      <c r="Y228" s="312"/>
      <c r="Z228" s="312"/>
    </row>
    <row r="229" spans="1:26" ht="19.5">
      <c r="A229" s="322"/>
      <c r="B229" s="314"/>
      <c r="C229" s="323"/>
      <c r="D229" s="324" t="s">
        <v>98</v>
      </c>
      <c r="E229" s="315"/>
      <c r="F229" s="315"/>
      <c r="G229" s="317"/>
      <c r="H229" s="318" t="s">
        <v>12</v>
      </c>
      <c r="I229" s="325"/>
      <c r="J229" s="325"/>
      <c r="K229" s="321"/>
      <c r="L229" s="321">
        <f t="shared" ca="1" si="127"/>
        <v>190000</v>
      </c>
      <c r="M229" s="321"/>
      <c r="N229" s="321">
        <f t="shared" ca="1" si="128"/>
        <v>36200</v>
      </c>
      <c r="O229" s="321"/>
      <c r="P229" s="321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</row>
    <row r="230" spans="1:26" ht="19.5">
      <c r="A230" s="322"/>
      <c r="B230" s="314"/>
      <c r="C230" s="323"/>
      <c r="D230" s="324" t="s">
        <v>116</v>
      </c>
      <c r="E230" s="315"/>
      <c r="F230" s="315"/>
      <c r="G230" s="317"/>
      <c r="H230" s="318" t="s">
        <v>12</v>
      </c>
      <c r="I230" s="325"/>
      <c r="J230" s="325"/>
      <c r="K230" s="321"/>
      <c r="L230" s="321">
        <f t="shared" ca="1" si="127"/>
        <v>20000</v>
      </c>
      <c r="M230" s="321"/>
      <c r="N230" s="321">
        <f t="shared" ca="1" si="128"/>
        <v>0</v>
      </c>
      <c r="O230" s="321"/>
      <c r="P230" s="321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</row>
    <row r="231" spans="1:26" ht="19.5">
      <c r="A231" s="322"/>
      <c r="B231" s="314"/>
      <c r="C231" s="323"/>
      <c r="D231" s="324" t="s">
        <v>100</v>
      </c>
      <c r="E231" s="315"/>
      <c r="F231" s="315"/>
      <c r="G231" s="317"/>
      <c r="H231" s="318" t="s">
        <v>12</v>
      </c>
      <c r="I231" s="325"/>
      <c r="J231" s="325"/>
      <c r="K231" s="321"/>
      <c r="L231" s="321">
        <f t="shared" ca="1" si="127"/>
        <v>20000</v>
      </c>
      <c r="M231" s="321"/>
      <c r="N231" s="321">
        <f t="shared" ca="1" si="128"/>
        <v>0</v>
      </c>
      <c r="O231" s="321"/>
      <c r="P231" s="321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</row>
    <row r="232" spans="1:26" ht="19.5">
      <c r="A232" s="327"/>
      <c r="B232" s="328"/>
      <c r="C232" s="323" t="s">
        <v>16</v>
      </c>
      <c r="D232" s="329" t="s">
        <v>38</v>
      </c>
      <c r="E232" s="330"/>
      <c r="F232" s="330"/>
      <c r="G232" s="331"/>
      <c r="H232" s="332"/>
      <c r="I232" s="319"/>
      <c r="J232" s="325"/>
      <c r="K232" s="321"/>
      <c r="L232" s="321"/>
      <c r="M232" s="321"/>
      <c r="N232" s="321"/>
      <c r="O232" s="320"/>
      <c r="P232" s="320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</row>
    <row r="233" spans="1:26" ht="18.75">
      <c r="A233" s="327"/>
      <c r="B233" s="328"/>
      <c r="C233" s="328"/>
      <c r="D233" s="333" t="s">
        <v>117</v>
      </c>
      <c r="E233" s="334"/>
      <c r="F233" s="334"/>
      <c r="G233" s="335"/>
      <c r="H233" s="336" t="s">
        <v>35</v>
      </c>
      <c r="I233" s="325">
        <f t="shared" ref="I233:J233" ca="1" si="129">I244+I255</f>
        <v>80</v>
      </c>
      <c r="J233" s="325">
        <f t="shared" ca="1" si="129"/>
        <v>0</v>
      </c>
      <c r="K233" s="321">
        <f ca="1">IF(I233&gt;0,J233*100/I233,0)</f>
        <v>0</v>
      </c>
      <c r="L233" s="321"/>
      <c r="M233" s="321"/>
      <c r="N233" s="321"/>
      <c r="O233" s="321"/>
      <c r="P233" s="321"/>
      <c r="Q233" s="312"/>
      <c r="R233" s="312"/>
      <c r="S233" s="312"/>
      <c r="T233" s="312"/>
      <c r="U233" s="312"/>
      <c r="V233" s="312"/>
      <c r="W233" s="312"/>
      <c r="X233" s="312"/>
      <c r="Y233" s="312"/>
      <c r="Z233" s="312"/>
    </row>
    <row r="234" spans="1:26" ht="18.75">
      <c r="A234" s="327"/>
      <c r="B234" s="328"/>
      <c r="C234" s="328"/>
      <c r="D234" s="337" t="s">
        <v>43</v>
      </c>
      <c r="E234" s="334"/>
      <c r="F234" s="334"/>
      <c r="G234" s="335"/>
      <c r="H234" s="336"/>
      <c r="I234" s="325"/>
      <c r="J234" s="325"/>
      <c r="K234" s="321"/>
      <c r="L234" s="321"/>
      <c r="M234" s="321"/>
      <c r="N234" s="321"/>
      <c r="O234" s="320"/>
      <c r="P234" s="320"/>
      <c r="Q234" s="312"/>
      <c r="R234" s="312"/>
      <c r="S234" s="312"/>
      <c r="T234" s="312"/>
      <c r="U234" s="312"/>
      <c r="V234" s="312"/>
      <c r="W234" s="312"/>
      <c r="X234" s="312"/>
      <c r="Y234" s="312"/>
      <c r="Z234" s="312"/>
    </row>
    <row r="235" spans="1:26" ht="18.75">
      <c r="A235" s="327"/>
      <c r="B235" s="328"/>
      <c r="C235" s="328"/>
      <c r="D235" s="328"/>
      <c r="E235" s="338" t="s">
        <v>118</v>
      </c>
      <c r="F235" s="334"/>
      <c r="G235" s="335"/>
      <c r="H235" s="336" t="s">
        <v>35</v>
      </c>
      <c r="I235" s="325">
        <f t="shared" ref="I235:J235" ca="1" si="130">I246+I257</f>
        <v>40</v>
      </c>
      <c r="J235" s="325">
        <f t="shared" ca="1" si="130"/>
        <v>0</v>
      </c>
      <c r="K235" s="321">
        <f t="shared" ref="K235:K237" ca="1" si="131">IF(I235&gt;0,J235*100/I235,0)</f>
        <v>0</v>
      </c>
      <c r="L235" s="321"/>
      <c r="M235" s="321"/>
      <c r="N235" s="321"/>
      <c r="O235" s="321"/>
      <c r="P235" s="321"/>
      <c r="Q235" s="312"/>
      <c r="R235" s="312"/>
      <c r="S235" s="312"/>
      <c r="T235" s="312"/>
      <c r="U235" s="312"/>
      <c r="V235" s="312"/>
      <c r="W235" s="312"/>
      <c r="X235" s="312"/>
      <c r="Y235" s="312"/>
      <c r="Z235" s="312"/>
    </row>
    <row r="236" spans="1:26" ht="18.75">
      <c r="A236" s="327"/>
      <c r="B236" s="328"/>
      <c r="C236" s="328"/>
      <c r="D236" s="328"/>
      <c r="E236" s="338" t="s">
        <v>119</v>
      </c>
      <c r="F236" s="334"/>
      <c r="G236" s="335"/>
      <c r="H236" s="336" t="s">
        <v>69</v>
      </c>
      <c r="I236" s="325">
        <f t="shared" ref="I236:J236" ca="1" si="132">I247+I258</f>
        <v>2</v>
      </c>
      <c r="J236" s="325">
        <f t="shared" ca="1" si="132"/>
        <v>0</v>
      </c>
      <c r="K236" s="321">
        <f t="shared" ca="1" si="131"/>
        <v>0</v>
      </c>
      <c r="L236" s="321"/>
      <c r="M236" s="321"/>
      <c r="N236" s="321"/>
      <c r="O236" s="321"/>
      <c r="P236" s="321"/>
      <c r="Q236" s="312"/>
      <c r="R236" s="312"/>
      <c r="S236" s="312"/>
      <c r="T236" s="312"/>
      <c r="U236" s="312"/>
      <c r="V236" s="312"/>
      <c r="W236" s="312"/>
      <c r="X236" s="312"/>
      <c r="Y236" s="312"/>
      <c r="Z236" s="312"/>
    </row>
    <row r="237" spans="1:26" ht="19.5" hidden="1">
      <c r="A237" s="339"/>
      <c r="B237" s="340"/>
      <c r="C237" s="341" t="s">
        <v>120</v>
      </c>
      <c r="D237" s="342"/>
      <c r="E237" s="342"/>
      <c r="F237" s="342"/>
      <c r="G237" s="343"/>
      <c r="H237" s="265" t="s">
        <v>35</v>
      </c>
      <c r="I237" s="344">
        <f t="shared" ref="I237:J237" ca="1" si="133">I244</f>
        <v>80</v>
      </c>
      <c r="J237" s="344">
        <f t="shared" ca="1" si="133"/>
        <v>0</v>
      </c>
      <c r="K237" s="345">
        <f t="shared" ca="1" si="131"/>
        <v>0</v>
      </c>
      <c r="L237" s="346"/>
      <c r="M237" s="346"/>
      <c r="N237" s="346"/>
      <c r="O237" s="346"/>
      <c r="P237" s="346"/>
      <c r="Q237" s="224"/>
      <c r="R237" s="224"/>
      <c r="S237" s="224"/>
      <c r="T237" s="224"/>
      <c r="U237" s="224"/>
      <c r="V237" s="224"/>
      <c r="W237" s="224"/>
      <c r="X237" s="224"/>
      <c r="Y237" s="224"/>
      <c r="Z237" s="224"/>
    </row>
    <row r="238" spans="1:26" ht="19.5" hidden="1">
      <c r="A238" s="347"/>
      <c r="B238" s="348"/>
      <c r="C238" s="349" t="s">
        <v>16</v>
      </c>
      <c r="D238" s="350" t="s">
        <v>17</v>
      </c>
      <c r="E238" s="348"/>
      <c r="F238" s="348"/>
      <c r="G238" s="351"/>
      <c r="H238" s="352" t="s">
        <v>12</v>
      </c>
      <c r="I238" s="353"/>
      <c r="J238" s="353"/>
      <c r="K238" s="354"/>
      <c r="L238" s="355">
        <f ca="1">L239+L240+L241+L242</f>
        <v>556000</v>
      </c>
      <c r="M238" s="355"/>
      <c r="N238" s="355">
        <f ca="1">N239+N240+N241+N242</f>
        <v>50800</v>
      </c>
      <c r="O238" s="355">
        <f ca="1">IF(L238&gt;0,N238*100/L238,0)</f>
        <v>9.1366906474820144</v>
      </c>
      <c r="P238" s="355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6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7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"),14600)</f>
        <v>14600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8"/>
      <c r="B240" s="356"/>
      <c r="C240" s="359"/>
      <c r="D240" s="222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7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"),36200)</f>
        <v>36200</v>
      </c>
      <c r="O240" s="45"/>
      <c r="P240" s="45"/>
      <c r="Q240" s="360"/>
      <c r="R240" s="360"/>
      <c r="S240" s="360"/>
      <c r="T240" s="360"/>
      <c r="U240" s="360"/>
      <c r="V240" s="360"/>
      <c r="W240" s="360"/>
      <c r="X240" s="360"/>
      <c r="Y240" s="360"/>
      <c r="Z240" s="360"/>
    </row>
    <row r="241" spans="1:26" ht="19.5" hidden="1">
      <c r="A241" s="358"/>
      <c r="B241" s="356"/>
      <c r="C241" s="359"/>
      <c r="D241" s="222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7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"),0)</f>
        <v>0</v>
      </c>
      <c r="O241" s="45"/>
      <c r="P241" s="45"/>
      <c r="Q241" s="360"/>
      <c r="R241" s="360"/>
      <c r="S241" s="360"/>
      <c r="T241" s="360"/>
      <c r="U241" s="360"/>
      <c r="V241" s="360"/>
      <c r="W241" s="360"/>
      <c r="X241" s="360"/>
      <c r="Y241" s="360"/>
      <c r="Z241" s="360"/>
    </row>
    <row r="242" spans="1:26" ht="19.5" hidden="1">
      <c r="A242" s="358"/>
      <c r="B242" s="356"/>
      <c r="C242" s="359"/>
      <c r="D242" s="222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7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"),0)</f>
        <v>0</v>
      </c>
      <c r="O242" s="45"/>
      <c r="P242" s="45"/>
      <c r="Q242" s="360"/>
      <c r="R242" s="360"/>
      <c r="S242" s="360"/>
      <c r="T242" s="360"/>
      <c r="U242" s="360"/>
      <c r="V242" s="360"/>
      <c r="W242" s="360"/>
      <c r="X242" s="360"/>
      <c r="Y242" s="360"/>
      <c r="Z242" s="360"/>
    </row>
    <row r="243" spans="1:26" ht="19.5" hidden="1">
      <c r="A243" s="361"/>
      <c r="B243" s="362"/>
      <c r="C243" s="359" t="s">
        <v>16</v>
      </c>
      <c r="D243" s="266" t="s">
        <v>38</v>
      </c>
      <c r="E243" s="363"/>
      <c r="F243" s="363"/>
      <c r="G243" s="364"/>
      <c r="H243" s="365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1"/>
      <c r="B244" s="362"/>
      <c r="C244" s="362"/>
      <c r="D244" s="366" t="s">
        <v>117</v>
      </c>
      <c r="E244" s="367"/>
      <c r="F244" s="367"/>
      <c r="G244" s="368"/>
      <c r="H244" s="369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0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"),0)</f>
        <v>0</v>
      </c>
      <c r="K244" s="45">
        <f ca="1">IF(I244&gt;0,J244*100/I244,0)</f>
        <v>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1"/>
      <c r="B245" s="362"/>
      <c r="C245" s="362"/>
      <c r="D245" s="371" t="s">
        <v>43</v>
      </c>
      <c r="E245" s="372"/>
      <c r="F245" s="367"/>
      <c r="G245" s="368"/>
      <c r="H245" s="369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1"/>
      <c r="B246" s="362"/>
      <c r="C246" s="362"/>
      <c r="D246" s="362"/>
      <c r="E246" s="373" t="s">
        <v>118</v>
      </c>
      <c r="F246" s="367"/>
      <c r="G246" s="368"/>
      <c r="H246" s="369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0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"),0)</f>
        <v>0</v>
      </c>
      <c r="K246" s="45">
        <f ca="1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1"/>
      <c r="B247" s="362"/>
      <c r="C247" s="362"/>
      <c r="D247" s="362"/>
      <c r="E247" s="267" t="s">
        <v>119</v>
      </c>
      <c r="F247" s="367"/>
      <c r="G247" s="368"/>
      <c r="H247" s="369" t="s">
        <v>69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0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"),0)</f>
        <v>0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39"/>
      <c r="B248" s="340"/>
      <c r="C248" s="341" t="s">
        <v>121</v>
      </c>
      <c r="D248" s="342"/>
      <c r="E248" s="342"/>
      <c r="F248" s="342"/>
      <c r="G248" s="343"/>
      <c r="H248" s="265" t="s">
        <v>35</v>
      </c>
      <c r="I248" s="344">
        <f t="shared" ref="I248:J248" ca="1" si="134">I255</f>
        <v>0</v>
      </c>
      <c r="J248" s="344">
        <f t="shared" ca="1" si="134"/>
        <v>0</v>
      </c>
      <c r="K248" s="345">
        <f ca="1">IF(I248&gt;0,J248*100/I248,0)</f>
        <v>0</v>
      </c>
      <c r="L248" s="346"/>
      <c r="M248" s="346"/>
      <c r="N248" s="346"/>
      <c r="O248" s="346"/>
      <c r="P248" s="346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</row>
    <row r="249" spans="1:26" ht="19.5" hidden="1">
      <c r="A249" s="347"/>
      <c r="B249" s="348"/>
      <c r="C249" s="349" t="s">
        <v>16</v>
      </c>
      <c r="D249" s="374" t="s">
        <v>17</v>
      </c>
      <c r="E249" s="348"/>
      <c r="F249" s="348"/>
      <c r="G249" s="351"/>
      <c r="H249" s="352" t="s">
        <v>12</v>
      </c>
      <c r="I249" s="353"/>
      <c r="J249" s="353"/>
      <c r="K249" s="354"/>
      <c r="L249" s="355">
        <f ca="1">L250+L251+L252+L253</f>
        <v>0</v>
      </c>
      <c r="M249" s="355"/>
      <c r="N249" s="355">
        <f ca="1">N250+N251+N252+N253</f>
        <v>0</v>
      </c>
      <c r="O249" s="355">
        <f ca="1">IF(L249&gt;0,N249*100/L249,0)</f>
        <v>0</v>
      </c>
      <c r="P249" s="355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6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7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8"/>
      <c r="B251" s="356"/>
      <c r="C251" s="359"/>
      <c r="D251" s="222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7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</row>
    <row r="252" spans="1:26" ht="19.5" hidden="1">
      <c r="A252" s="358"/>
      <c r="B252" s="356"/>
      <c r="C252" s="359"/>
      <c r="D252" s="222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7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</row>
    <row r="253" spans="1:26" ht="19.5" hidden="1">
      <c r="A253" s="358"/>
      <c r="B253" s="356"/>
      <c r="C253" s="359"/>
      <c r="D253" s="222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7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0"/>
      <c r="R253" s="360"/>
      <c r="S253" s="360"/>
      <c r="T253" s="360"/>
      <c r="U253" s="360"/>
      <c r="V253" s="360"/>
      <c r="W253" s="360"/>
      <c r="X253" s="360"/>
      <c r="Y253" s="360"/>
      <c r="Z253" s="360"/>
    </row>
    <row r="254" spans="1:26" ht="19.5" hidden="1">
      <c r="A254" s="361"/>
      <c r="B254" s="362"/>
      <c r="C254" s="359" t="s">
        <v>16</v>
      </c>
      <c r="D254" s="266" t="s">
        <v>38</v>
      </c>
      <c r="E254" s="363"/>
      <c r="F254" s="363"/>
      <c r="G254" s="364"/>
      <c r="H254" s="365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1"/>
      <c r="B255" s="362"/>
      <c r="C255" s="362"/>
      <c r="D255" s="366" t="s">
        <v>117</v>
      </c>
      <c r="E255" s="367"/>
      <c r="F255" s="367"/>
      <c r="G255" s="368"/>
      <c r="H255" s="369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0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1"/>
      <c r="B256" s="362"/>
      <c r="C256" s="362"/>
      <c r="D256" s="371" t="s">
        <v>43</v>
      </c>
      <c r="E256" s="372"/>
      <c r="F256" s="367"/>
      <c r="G256" s="368"/>
      <c r="H256" s="369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1"/>
      <c r="B257" s="362"/>
      <c r="C257" s="362"/>
      <c r="D257" s="362"/>
      <c r="E257" s="373" t="s">
        <v>118</v>
      </c>
      <c r="F257" s="367"/>
      <c r="G257" s="368"/>
      <c r="H257" s="369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0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1"/>
      <c r="B258" s="362"/>
      <c r="C258" s="362"/>
      <c r="D258" s="362"/>
      <c r="E258" s="267" t="s">
        <v>119</v>
      </c>
      <c r="F258" s="367"/>
      <c r="G258" s="368"/>
      <c r="H258" s="369" t="s">
        <v>69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0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36">I271</f>
        <v>462</v>
      </c>
      <c r="J260" s="252">
        <f t="shared" ca="1" si="136"/>
        <v>122</v>
      </c>
      <c r="K260" s="253">
        <f ca="1">IF(I260&gt;0,J260*100/I260,0)</f>
        <v>26.406926406926406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628900</v>
      </c>
      <c r="N261" s="155">
        <f t="shared" ca="1" si="137"/>
        <v>209335.5</v>
      </c>
      <c r="O261" s="155">
        <f t="shared" ref="O261:O269" ca="1" si="138">IF(L261&gt;0,N261*100/L261,0)</f>
        <v>24.776364066753462</v>
      </c>
      <c r="P261" s="155">
        <f t="shared" ref="P261:P269" ca="1" si="139">IF(M261&gt;0,N261*100/M261,0)</f>
        <v>33.285975512800128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628900</v>
      </c>
      <c r="N263" s="45">
        <f t="shared" ca="1" si="141"/>
        <v>209335.5</v>
      </c>
      <c r="O263" s="45">
        <f t="shared" ca="1" si="138"/>
        <v>24.776364066753462</v>
      </c>
      <c r="P263" s="45">
        <f t="shared" ca="1" si="139"/>
        <v>33.285975512800128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628900</v>
      </c>
      <c r="N264" s="38">
        <f t="shared" ca="1" si="142"/>
        <v>209335.5</v>
      </c>
      <c r="O264" s="38">
        <f t="shared" ca="1" si="138"/>
        <v>24.776364066753462</v>
      </c>
      <c r="P264" s="38">
        <f t="shared" ca="1" si="139"/>
        <v>33.285975512800128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"),628900)</f>
        <v>628900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"),209335.5)</f>
        <v>209335.5</v>
      </c>
      <c r="O266" s="45">
        <f t="shared" ca="1" si="138"/>
        <v>24.776364066753462</v>
      </c>
      <c r="P266" s="45">
        <f t="shared" ca="1" si="139"/>
        <v>33.285975512800128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268"/>
      <c r="G271" s="179"/>
      <c r="H271" s="376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"),122)</f>
        <v>122</v>
      </c>
      <c r="K271" s="163">
        <f ca="1">IF(I271&gt;0,J271*100/I271,0)</f>
        <v>26.406926406926406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382">
        <v>0</v>
      </c>
      <c r="J272" s="382">
        <v>0</v>
      </c>
      <c r="K272" s="383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0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44">I288</f>
        <v>435</v>
      </c>
      <c r="J275" s="405">
        <f t="shared" ca="1" si="144"/>
        <v>0</v>
      </c>
      <c r="K275" s="406">
        <f t="shared" ref="K275:K276" ca="1" si="145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46">I287</f>
        <v>4350</v>
      </c>
      <c r="J276" s="405">
        <f t="shared" ca="1" si="146"/>
        <v>650</v>
      </c>
      <c r="K276" s="406">
        <f t="shared" ca="1" si="145"/>
        <v>14.942528735632184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1222870</v>
      </c>
      <c r="N277" s="155">
        <f t="shared" ca="1" si="147"/>
        <v>358937.19999999902</v>
      </c>
      <c r="O277" s="155">
        <f t="shared" ref="O277:O285" ca="1" si="148">IF(L277&gt;0,N277*100/L277,0)</f>
        <v>13.082661165398838</v>
      </c>
      <c r="P277" s="155">
        <f t="shared" ref="P277:P285" ca="1" si="149">IF(M277&gt;0,N277*100/M277,0)</f>
        <v>29.352032513676765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1222870</v>
      </c>
      <c r="N279" s="45">
        <f t="shared" ca="1" si="151"/>
        <v>358937.19999999902</v>
      </c>
      <c r="O279" s="45">
        <f t="shared" ca="1" si="148"/>
        <v>13.082661165398838</v>
      </c>
      <c r="P279" s="45">
        <f t="shared" ca="1" si="149"/>
        <v>29.352032513676765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1222870</v>
      </c>
      <c r="N280" s="38">
        <f t="shared" ca="1" si="152"/>
        <v>358937.19999999902</v>
      </c>
      <c r="O280" s="38">
        <f t="shared" ca="1" si="148"/>
        <v>13.082661165398838</v>
      </c>
      <c r="P280" s="38">
        <f t="shared" ca="1" si="149"/>
        <v>29.352032513676765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"),1222870)</f>
        <v>1222870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"),358937.199999999)</f>
        <v>358937.19999999902</v>
      </c>
      <c r="O282" s="45">
        <f t="shared" ca="1" si="148"/>
        <v>13.082661165398838</v>
      </c>
      <c r="P282" s="45">
        <f t="shared" ca="1" si="149"/>
        <v>29.352032513676765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0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"),650)</f>
        <v>650</v>
      </c>
      <c r="K287" s="163">
        <f t="shared" ref="K287:K288" ca="1" si="154">IF(I287&gt;0,J287*100/I287,0)</f>
        <v>14.942528735632184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0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IF(AND(J291&gt;=I288,J294&gt;=I288),J294,0)</f>
        <v>0</v>
      </c>
      <c r="K288" s="410">
        <f t="shared" ca="1" si="154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182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40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"),65)</f>
        <v>65</v>
      </c>
      <c r="K290" s="163">
        <f t="shared" ref="K290:K291" ca="1" si="155">IF(I290&gt;0,J290*100/I290,0)</f>
        <v>14.942528735632184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0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"),65)</f>
        <v>65</v>
      </c>
      <c r="K291" s="163">
        <f t="shared" ca="1" si="155"/>
        <v>14.942528735632184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40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"),25)</f>
        <v>25</v>
      </c>
      <c r="K293" s="163">
        <f t="shared" ref="K293:K294" ca="1" si="156">IF(I293&gt;0,J293*100/I293,0)</f>
        <v>5.7471264367816088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420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3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"),25)</f>
        <v>25</v>
      </c>
      <c r="K294" s="384">
        <f t="shared" ca="1" si="156"/>
        <v>5.7471264367816088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57">I309</f>
        <v>245</v>
      </c>
      <c r="J297" s="443">
        <f t="shared" ca="1" si="157"/>
        <v>20</v>
      </c>
      <c r="K297" s="444">
        <f ca="1">IF(I297&gt;0,J297*100/I297,0)</f>
        <v>8.1632653061224492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860720</v>
      </c>
      <c r="N298" s="155">
        <f t="shared" ca="1" si="158"/>
        <v>140910.44</v>
      </c>
      <c r="O298" s="155">
        <f t="shared" ref="O298:O306" ca="1" si="159">IF(L298&gt;0,N298*100/L298,0)</f>
        <v>8.9217702925161451</v>
      </c>
      <c r="P298" s="155">
        <f t="shared" ref="P298:P306" ca="1" si="160">IF(M298&gt;0,N298*100/M298,0)</f>
        <v>16.371228738730366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860720</v>
      </c>
      <c r="N300" s="45">
        <f t="shared" ca="1" si="162"/>
        <v>140910.44</v>
      </c>
      <c r="O300" s="45">
        <f t="shared" ca="1" si="159"/>
        <v>8.9217702925161451</v>
      </c>
      <c r="P300" s="45">
        <f t="shared" ca="1" si="160"/>
        <v>16.371228738730366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860720</v>
      </c>
      <c r="N301" s="38">
        <f t="shared" ca="1" si="163"/>
        <v>140910.44</v>
      </c>
      <c r="O301" s="38">
        <f t="shared" ca="1" si="159"/>
        <v>8.9217702925161451</v>
      </c>
      <c r="P301" s="38">
        <f t="shared" ca="1" si="160"/>
        <v>16.371228738730366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"),860720)</f>
        <v>860720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"),140910.44)</f>
        <v>140910.44</v>
      </c>
      <c r="O303" s="45">
        <f t="shared" ca="1" si="159"/>
        <v>8.9217702925161451</v>
      </c>
      <c r="P303" s="45">
        <f t="shared" ca="1" si="160"/>
        <v>16.371228738730366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"),3)</f>
        <v>3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"),20)</f>
        <v>20</v>
      </c>
      <c r="K309" s="38">
        <f t="shared" ref="K309:K312" ca="1" si="165">IF(I309&gt;0,J309*100/I309,0)</f>
        <v>8.1632653061224492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"),0)</f>
        <v>0</v>
      </c>
      <c r="K310" s="38">
        <f t="shared" ca="1" si="165"/>
        <v>0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6" t="s">
        <v>59</v>
      </c>
      <c r="E311" s="177"/>
      <c r="F311" s="177"/>
      <c r="G311" s="179"/>
      <c r="H311" s="447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"),0)</f>
        <v>0</v>
      </c>
      <c r="K312" s="38">
        <f t="shared" ca="1" si="165"/>
        <v>0</v>
      </c>
      <c r="L312" s="38"/>
      <c r="M312" s="38"/>
      <c r="N312" s="38"/>
      <c r="O312" s="38"/>
      <c r="P312" s="38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66">I325</f>
        <v>3</v>
      </c>
      <c r="J314" s="443">
        <f t="shared" ca="1" si="166"/>
        <v>2</v>
      </c>
      <c r="K314" s="444">
        <f ca="1">IF(I314&gt;0,J314*100/I314,0)</f>
        <v>66.666666666666671</v>
      </c>
      <c r="L314" s="445"/>
      <c r="M314" s="445"/>
      <c r="N314" s="445"/>
      <c r="O314" s="445"/>
      <c r="P314" s="44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si="167"/>
        <v>0</v>
      </c>
      <c r="N315" s="155">
        <f t="shared" ca="1" si="167"/>
        <v>120164.1</v>
      </c>
      <c r="O315" s="155">
        <f t="shared" ref="O315:O323" ca="1" si="168">IF(L315&gt;0,N315*100/L315,0)</f>
        <v>13.686116173120729</v>
      </c>
      <c r="P315" s="155">
        <f t="shared" ref="P315:P319" si="169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L317" si="170">L319+L322</f>
        <v>0</v>
      </c>
      <c r="M316" s="45">
        <f>M319+M462</f>
        <v>0</v>
      </c>
      <c r="N316" s="45">
        <f t="shared" ref="N316:N317" si="171">N319+N322</f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ca="1" si="170"/>
        <v>878000</v>
      </c>
      <c r="M317" s="45">
        <f>M460+M463</f>
        <v>0</v>
      </c>
      <c r="N317" s="45">
        <f t="shared" ca="1" si="171"/>
        <v>120164.1</v>
      </c>
      <c r="O317" s="45">
        <f t="shared" ca="1" si="168"/>
        <v>13.686116173120729</v>
      </c>
      <c r="P317" s="45">
        <f t="shared" si="169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ca="1">L319+L320</f>
        <v>878000</v>
      </c>
      <c r="M318" s="38">
        <f>M319+M460</f>
        <v>0</v>
      </c>
      <c r="N318" s="38">
        <f ca="1">N319+N320</f>
        <v>120164.1</v>
      </c>
      <c r="O318" s="38">
        <f t="shared" ca="1" si="168"/>
        <v>13.686116173120729</v>
      </c>
      <c r="P318" s="38">
        <f t="shared" si="169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"),413000)</f>
        <v>413000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"),120164.1)</f>
        <v>120164.1</v>
      </c>
      <c r="O320" s="45">
        <f t="shared" ca="1" si="168"/>
        <v>13.686116173120729</v>
      </c>
      <c r="P320" s="45">
        <f t="shared" ref="P320:P323" si="172">IF(M460&gt;0,N320*100/M460,0)</f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ca="1">L322+L323</f>
        <v>0</v>
      </c>
      <c r="M321" s="38">
        <f>M462+M463</f>
        <v>0</v>
      </c>
      <c r="N321" s="38">
        <f ca="1">N322+N323</f>
        <v>0</v>
      </c>
      <c r="O321" s="38">
        <f t="shared" ca="1" si="168"/>
        <v>0</v>
      </c>
      <c r="P321" s="38">
        <f t="shared" si="172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72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si="172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"),2)</f>
        <v>2</v>
      </c>
      <c r="K325" s="38">
        <f ca="1">IF(I325&gt;0,J325*100/I325,0)</f>
        <v>66.666666666666671</v>
      </c>
      <c r="L325" s="38"/>
      <c r="M325" s="38"/>
      <c r="N325" s="38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3">
        <f ca="1">J338+J341+J342+J343</f>
        <v>22200</v>
      </c>
      <c r="K327" s="444">
        <f ca="1">IF(I327&gt;0,J327*100/I327,0)</f>
        <v>25.86809601491494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ca="1">L329+L330</f>
        <v>4688800</v>
      </c>
      <c r="M328" s="155">
        <f ca="1">M469+M330</f>
        <v>2769400</v>
      </c>
      <c r="N328" s="155">
        <f ca="1">N329+N330</f>
        <v>1328271.919999999</v>
      </c>
      <c r="O328" s="155">
        <f t="shared" ref="O328:O336" ca="1" si="173">IF(L328&gt;0,N328*100/L328,0)</f>
        <v>28.328611158505353</v>
      </c>
      <c r="P328" s="155">
        <f t="shared" ref="P328:P329" si="174">IF(M468&gt;0,N328*100/M468,0)</f>
        <v>0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5">L332+L335</f>
        <v>0</v>
      </c>
      <c r="M329" s="45">
        <f t="shared" si="175"/>
        <v>0</v>
      </c>
      <c r="N329" s="45">
        <f t="shared" si="175"/>
        <v>0</v>
      </c>
      <c r="O329" s="45">
        <f t="shared" si="173"/>
        <v>0</v>
      </c>
      <c r="P329" s="45">
        <f t="shared" si="174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6">L333+L336</f>
        <v>4688800</v>
      </c>
      <c r="M330" s="45">
        <f t="shared" ca="1" si="176"/>
        <v>2769400</v>
      </c>
      <c r="N330" s="45">
        <f t="shared" ca="1" si="176"/>
        <v>1328271.919999999</v>
      </c>
      <c r="O330" s="45">
        <f t="shared" ca="1" si="173"/>
        <v>28.328611158505353</v>
      </c>
      <c r="P330" s="45">
        <f t="shared" ref="P330:P336" ca="1" si="177">IF(M330&gt;0,N330*100/M330,0)</f>
        <v>47.962443850653536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8">L332+L333</f>
        <v>3838800</v>
      </c>
      <c r="M331" s="38">
        <f t="shared" ca="1" si="178"/>
        <v>1919400</v>
      </c>
      <c r="N331" s="38">
        <f t="shared" ca="1" si="178"/>
        <v>588271.91999999899</v>
      </c>
      <c r="O331" s="38">
        <f t="shared" ca="1" si="173"/>
        <v>15.324370115661116</v>
      </c>
      <c r="P331" s="38">
        <f t="shared" ca="1" si="177"/>
        <v>30.648740231322233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3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"),1919400)</f>
        <v>1919400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"),588271.919999999)</f>
        <v>588271.91999999899</v>
      </c>
      <c r="O333" s="45">
        <f t="shared" ca="1" si="173"/>
        <v>15.324370115661116</v>
      </c>
      <c r="P333" s="45">
        <f t="shared" ca="1" si="177"/>
        <v>30.648740231322233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79">L335+L336</f>
        <v>850000</v>
      </c>
      <c r="M334" s="38">
        <f t="shared" ca="1" si="179"/>
        <v>850000</v>
      </c>
      <c r="N334" s="38">
        <f t="shared" ca="1" si="179"/>
        <v>740000</v>
      </c>
      <c r="O334" s="38">
        <f t="shared" ca="1" si="173"/>
        <v>87.058823529411768</v>
      </c>
      <c r="P334" s="38">
        <f t="shared" ca="1" si="177"/>
        <v>87.058823529411768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3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"),850000)</f>
        <v>850000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3"/>
        <v>87.058823529411768</v>
      </c>
      <c r="P336" s="45">
        <f t="shared" ca="1" si="177"/>
        <v>87.058823529411768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3"/>
      <c r="B338" s="33"/>
      <c r="C338" s="280"/>
      <c r="D338" s="181" t="s">
        <v>150</v>
      </c>
      <c r="E338" s="171"/>
      <c r="F338" s="33"/>
      <c r="G338" s="35"/>
      <c r="H338" s="276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69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"),19762)</f>
        <v>19762</v>
      </c>
      <c r="K338" s="38">
        <f ca="1">IF(I338&gt;0,J338*100/I338,0)</f>
        <v>23.027266371475182</v>
      </c>
      <c r="L338" s="38"/>
      <c r="M338" s="38"/>
      <c r="N338" s="38"/>
      <c r="O338" s="38"/>
      <c r="P338" s="38"/>
    </row>
    <row r="339" spans="1:26" ht="18.75">
      <c r="A339" s="283"/>
      <c r="B339" s="33"/>
      <c r="C339" s="280"/>
      <c r="D339" s="181" t="s">
        <v>151</v>
      </c>
      <c r="E339" s="171"/>
      <c r="F339" s="33"/>
      <c r="G339" s="35"/>
      <c r="H339" s="276"/>
      <c r="I339" s="37"/>
      <c r="J339" s="269"/>
      <c r="K339" s="38"/>
      <c r="L339" s="38"/>
      <c r="M339" s="38"/>
      <c r="N339" s="38"/>
      <c r="O339" s="38"/>
      <c r="P339" s="38"/>
    </row>
    <row r="340" spans="1:26" ht="18.75">
      <c r="A340" s="283"/>
      <c r="B340" s="33"/>
      <c r="C340" s="280"/>
      <c r="D340" s="178"/>
      <c r="E340" s="181" t="s">
        <v>152</v>
      </c>
      <c r="F340" s="33"/>
      <c r="G340" s="35"/>
      <c r="H340" s="276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69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"),25)</f>
        <v>25</v>
      </c>
      <c r="K340" s="38">
        <f ca="1">IF(I340&gt;0,J340*100/I340,0)</f>
        <v>15.822784810126583</v>
      </c>
      <c r="L340" s="38"/>
      <c r="M340" s="38"/>
      <c r="N340" s="38"/>
      <c r="O340" s="38"/>
      <c r="P340" s="38"/>
    </row>
    <row r="341" spans="1:26" ht="18.75">
      <c r="A341" s="283"/>
      <c r="B341" s="33"/>
      <c r="C341" s="280"/>
      <c r="D341" s="178"/>
      <c r="E341" s="181" t="s">
        <v>154</v>
      </c>
      <c r="F341" s="33"/>
      <c r="G341" s="35"/>
      <c r="H341" s="276" t="s">
        <v>35</v>
      </c>
      <c r="I341" s="37"/>
      <c r="J341" s="269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"),2309)</f>
        <v>2309</v>
      </c>
      <c r="K341" s="38"/>
      <c r="L341" s="38"/>
      <c r="M341" s="38"/>
      <c r="N341" s="38"/>
      <c r="O341" s="38"/>
      <c r="P341" s="38"/>
    </row>
    <row r="342" spans="1:26" ht="18.75">
      <c r="A342" s="283"/>
      <c r="B342" s="33"/>
      <c r="C342" s="280"/>
      <c r="D342" s="181" t="s">
        <v>155</v>
      </c>
      <c r="E342" s="178"/>
      <c r="F342" s="178"/>
      <c r="G342" s="35"/>
      <c r="H342" s="276" t="s">
        <v>35</v>
      </c>
      <c r="I342" s="37"/>
      <c r="J342" s="269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"),1)</f>
        <v>1</v>
      </c>
      <c r="K342" s="38"/>
      <c r="L342" s="38"/>
      <c r="M342" s="38"/>
      <c r="N342" s="38"/>
      <c r="O342" s="38"/>
      <c r="P342" s="38"/>
    </row>
    <row r="343" spans="1:26" ht="18.75">
      <c r="A343" s="283"/>
      <c r="B343" s="33"/>
      <c r="C343" s="280"/>
      <c r="D343" s="181" t="s">
        <v>156</v>
      </c>
      <c r="E343" s="178"/>
      <c r="F343" s="178"/>
      <c r="G343" s="35"/>
      <c r="H343" s="276" t="s">
        <v>35</v>
      </c>
      <c r="I343" s="37"/>
      <c r="J343" s="269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"),128)</f>
        <v>128</v>
      </c>
      <c r="K343" s="38"/>
      <c r="L343" s="38"/>
      <c r="M343" s="38"/>
      <c r="N343" s="38"/>
      <c r="O343" s="38"/>
      <c r="P343" s="38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0">L346+L347</f>
        <v>29266000</v>
      </c>
      <c r="M345" s="155">
        <f t="shared" ca="1" si="180"/>
        <v>16099922</v>
      </c>
      <c r="N345" s="155">
        <f t="shared" ca="1" si="180"/>
        <v>6785298.1799999997</v>
      </c>
      <c r="O345" s="155">
        <f t="shared" ref="O345:O353" ca="1" si="181">IF(L345&gt;0,N345*100/L345,0)</f>
        <v>23.184918266930911</v>
      </c>
      <c r="P345" s="155">
        <f t="shared" ref="P345:P353" ca="1" si="182">IF(M345&gt;0,N345*100/M345,0)</f>
        <v>42.144913372872239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3">L349+L352</f>
        <v>0</v>
      </c>
      <c r="M346" s="45">
        <f t="shared" si="183"/>
        <v>0</v>
      </c>
      <c r="N346" s="45">
        <f t="shared" si="183"/>
        <v>0</v>
      </c>
      <c r="O346" s="45">
        <f t="shared" si="181"/>
        <v>0</v>
      </c>
      <c r="P346" s="45">
        <f t="shared" si="182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4">L350+L353</f>
        <v>29266000</v>
      </c>
      <c r="M347" s="45">
        <f t="shared" ca="1" si="184"/>
        <v>16099922</v>
      </c>
      <c r="N347" s="45">
        <f t="shared" ca="1" si="184"/>
        <v>6785298.1799999997</v>
      </c>
      <c r="O347" s="45">
        <f t="shared" ca="1" si="181"/>
        <v>23.184918266930911</v>
      </c>
      <c r="P347" s="45">
        <f t="shared" ca="1" si="182"/>
        <v>42.144913372872239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5">L349+L350</f>
        <v>26914600</v>
      </c>
      <c r="M348" s="38">
        <f t="shared" ca="1" si="185"/>
        <v>13751302</v>
      </c>
      <c r="N348" s="38">
        <f t="shared" ca="1" si="185"/>
        <v>4441578.18</v>
      </c>
      <c r="O348" s="38">
        <f t="shared" ca="1" si="181"/>
        <v>16.502486308546292</v>
      </c>
      <c r="P348" s="38">
        <f t="shared" ca="1" si="182"/>
        <v>32.29932831087558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1"/>
        <v>0</v>
      </c>
      <c r="P349" s="45">
        <f t="shared" si="182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"),13751302)</f>
        <v>13751302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"),4441578.18)</f>
        <v>4441578.18</v>
      </c>
      <c r="O350" s="45">
        <f t="shared" ca="1" si="181"/>
        <v>16.502486308546292</v>
      </c>
      <c r="P350" s="45">
        <f t="shared" ca="1" si="182"/>
        <v>32.29932831087558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6">L352+L353</f>
        <v>2351400</v>
      </c>
      <c r="M351" s="38">
        <f t="shared" ca="1" si="186"/>
        <v>2348620</v>
      </c>
      <c r="N351" s="38">
        <f t="shared" ca="1" si="186"/>
        <v>2343720</v>
      </c>
      <c r="O351" s="38">
        <f t="shared" ca="1" si="181"/>
        <v>99.673386067874461</v>
      </c>
      <c r="P351" s="38">
        <f t="shared" ca="1" si="182"/>
        <v>99.791366845211229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1"/>
        <v>0</v>
      </c>
      <c r="P352" s="45">
        <f t="shared" si="182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"),2348620)</f>
        <v>2348620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1"/>
        <v>99.673386067874461</v>
      </c>
      <c r="P353" s="45">
        <f t="shared" ca="1" si="182"/>
        <v>99.791366845211229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453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458" t="s">
        <v>159</v>
      </c>
      <c r="E355" s="459"/>
      <c r="F355" s="459"/>
      <c r="G355" s="460"/>
      <c r="H355" s="461" t="s">
        <v>35</v>
      </c>
      <c r="I355" s="462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"),14673)</f>
        <v>14673</v>
      </c>
      <c r="J355" s="463">
        <f ca="1">J362</f>
        <v>99</v>
      </c>
      <c r="K355" s="464">
        <f ca="1">IF(I355&gt;0,J355*100/I355,0)</f>
        <v>0.67470864853813128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"),1296)</f>
        <v>1296</v>
      </c>
      <c r="K358" s="38">
        <f t="shared" ref="K358:K365" si="187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"),148020)</f>
        <v>148020</v>
      </c>
      <c r="J359" s="269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"),10239.85)</f>
        <v>10239.85</v>
      </c>
      <c r="K359" s="38">
        <f t="shared" ca="1" si="187"/>
        <v>6.9178827185515468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"),14673)</f>
        <v>14673</v>
      </c>
      <c r="J360" s="269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"),1046)</f>
        <v>1046</v>
      </c>
      <c r="K360" s="38">
        <f t="shared" ca="1" si="187"/>
        <v>7.1287398623321749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69">
        <v>0</v>
      </c>
      <c r="J361" s="269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"),9853.74)</f>
        <v>9853.74</v>
      </c>
      <c r="K361" s="38">
        <f t="shared" si="187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"),14673)</f>
        <v>14673</v>
      </c>
      <c r="J362" s="269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"),99)</f>
        <v>99</v>
      </c>
      <c r="K362" s="38">
        <f t="shared" ca="1" si="187"/>
        <v>0.67470864853813128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69">
        <v>0</v>
      </c>
      <c r="J363" s="269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"),919.9)</f>
        <v>919.9</v>
      </c>
      <c r="K363" s="38">
        <f t="shared" si="187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88">I365+I374</f>
        <v>25308</v>
      </c>
      <c r="J364" s="477">
        <f t="shared" ca="1" si="188"/>
        <v>1405</v>
      </c>
      <c r="K364" s="478">
        <f t="shared" ca="1" si="187"/>
        <v>5.5516042358147617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3"/>
      <c r="D365" s="484" t="s">
        <v>166</v>
      </c>
      <c r="E365" s="485"/>
      <c r="F365" s="485"/>
      <c r="G365" s="486"/>
      <c r="H365" s="487" t="s">
        <v>35</v>
      </c>
      <c r="I365" s="488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"),4742)</f>
        <v>4742</v>
      </c>
      <c r="J365" s="489">
        <f ca="1">J372</f>
        <v>41</v>
      </c>
      <c r="K365" s="490">
        <f t="shared" ca="1" si="187"/>
        <v>0.86461408688317165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3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"),489)</f>
        <v>489</v>
      </c>
      <c r="K368" s="38">
        <f t="shared" ref="K368:K374" si="189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"),49520)</f>
        <v>49520</v>
      </c>
      <c r="J369" s="269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"),3880.08999999999)</f>
        <v>3880.0899999999901</v>
      </c>
      <c r="K369" s="38">
        <f t="shared" ca="1" si="189"/>
        <v>7.8353998384490913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"),4742)</f>
        <v>4742</v>
      </c>
      <c r="J370" s="269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"),322)</f>
        <v>322</v>
      </c>
      <c r="K370" s="38">
        <f t="shared" ca="1" si="189"/>
        <v>6.7903838043019826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69">
        <v>0</v>
      </c>
      <c r="J371" s="269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"),3316.82)</f>
        <v>3316.82</v>
      </c>
      <c r="K371" s="38">
        <f t="shared" si="189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"),4742)</f>
        <v>4742</v>
      </c>
      <c r="J372" s="269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"),41)</f>
        <v>41</v>
      </c>
      <c r="K372" s="38">
        <f t="shared" ca="1" si="189"/>
        <v>0.86461408688317165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69">
        <v>0</v>
      </c>
      <c r="J373" s="269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"),326.89)</f>
        <v>326.89</v>
      </c>
      <c r="K373" s="38">
        <f t="shared" si="189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3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"),20566)</f>
        <v>20566</v>
      </c>
      <c r="J374" s="489">
        <f ca="1">J381</f>
        <v>1364</v>
      </c>
      <c r="K374" s="490">
        <f t="shared" ca="1" si="189"/>
        <v>6.6323057473499949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3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"),808)</f>
        <v>808</v>
      </c>
      <c r="K377" s="496">
        <f t="shared" ref="K377:K382" si="190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"),98500)</f>
        <v>98500</v>
      </c>
      <c r="J378" s="269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"),6366.47)</f>
        <v>6366.47</v>
      </c>
      <c r="K378" s="496">
        <f t="shared" ca="1" si="190"/>
        <v>6.4634213197969546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"),20566)</f>
        <v>20566</v>
      </c>
      <c r="J379" s="269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"),2562)</f>
        <v>2562</v>
      </c>
      <c r="K379" s="496">
        <f t="shared" ca="1" si="190"/>
        <v>12.457454050374404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69">
        <v>0</v>
      </c>
      <c r="J380" s="269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"),30672.4899999999)</f>
        <v>30672.4899999999</v>
      </c>
      <c r="K380" s="496">
        <f t="shared" si="190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"),20566)</f>
        <v>20566</v>
      </c>
      <c r="J381" s="269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"),1364)</f>
        <v>1364</v>
      </c>
      <c r="K381" s="496">
        <f t="shared" ca="1" si="190"/>
        <v>6.6323057473499949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69">
        <v>0</v>
      </c>
      <c r="J382" s="269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"),18096.03)</f>
        <v>18096.03</v>
      </c>
      <c r="K382" s="496">
        <f t="shared" si="190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453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499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"),2)</f>
        <v>2</v>
      </c>
      <c r="K385" s="500">
        <f ca="1">IF(I385&gt;0,J385*100/I385,0)</f>
        <v>0.12453300124533001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ca="1" si="191">I400</f>
        <v>0</v>
      </c>
      <c r="J388" s="520">
        <f t="shared" ca="1" si="191"/>
        <v>0</v>
      </c>
      <c r="K388" s="521">
        <f ca="1"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2">L390+L391</f>
        <v>0</v>
      </c>
      <c r="M389" s="155">
        <f t="shared" ca="1" si="192"/>
        <v>0</v>
      </c>
      <c r="N389" s="155">
        <f t="shared" ca="1" si="192"/>
        <v>0</v>
      </c>
      <c r="O389" s="155">
        <f t="shared" ref="O389:O397" ca="1" si="193">IF(L389&gt;0,N389*100/L389,0)</f>
        <v>0</v>
      </c>
      <c r="P389" s="155">
        <f t="shared" ref="P389:P397" ca="1" si="194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5">L393+L396</f>
        <v>0</v>
      </c>
      <c r="M390" s="45">
        <f t="shared" si="195"/>
        <v>0</v>
      </c>
      <c r="N390" s="45">
        <f t="shared" si="195"/>
        <v>0</v>
      </c>
      <c r="O390" s="45">
        <f t="shared" si="193"/>
        <v>0</v>
      </c>
      <c r="P390" s="45">
        <f t="shared" si="194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6">L394+L397</f>
        <v>0</v>
      </c>
      <c r="M391" s="45">
        <f t="shared" ca="1" si="196"/>
        <v>0</v>
      </c>
      <c r="N391" s="45">
        <f t="shared" ca="1" si="196"/>
        <v>0</v>
      </c>
      <c r="O391" s="45">
        <f t="shared" ca="1" si="193"/>
        <v>0</v>
      </c>
      <c r="P391" s="45">
        <f t="shared" ca="1" si="194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7">L393+L394</f>
        <v>0</v>
      </c>
      <c r="M392" s="38">
        <f t="shared" ca="1" si="197"/>
        <v>0</v>
      </c>
      <c r="N392" s="38">
        <f t="shared" ca="1" si="197"/>
        <v>0</v>
      </c>
      <c r="O392" s="38">
        <f t="shared" ca="1" si="193"/>
        <v>0</v>
      </c>
      <c r="P392" s="38">
        <f t="shared" ca="1" si="194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3"/>
        <v>0</v>
      </c>
      <c r="P393" s="45">
        <f t="shared" si="194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3"/>
        <v>0</v>
      </c>
      <c r="P394" s="45">
        <f t="shared" ca="1" si="194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8">L396+L397</f>
        <v>0</v>
      </c>
      <c r="M395" s="38">
        <f t="shared" ca="1" si="198"/>
        <v>0</v>
      </c>
      <c r="N395" s="38">
        <f t="shared" ca="1" si="198"/>
        <v>0</v>
      </c>
      <c r="O395" s="38">
        <f t="shared" ca="1" si="193"/>
        <v>0</v>
      </c>
      <c r="P395" s="38">
        <f t="shared" ca="1" si="194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3"/>
        <v>0</v>
      </c>
      <c r="P396" s="45">
        <f t="shared" si="194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3"/>
        <v>0</v>
      </c>
      <c r="P397" s="45">
        <f t="shared" ca="1" si="194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199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199"/>
        <v>0</v>
      </c>
      <c r="L400" s="38"/>
      <c r="M400" s="38"/>
      <c r="N400" s="38"/>
      <c r="O400" s="38"/>
      <c r="P400" s="38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ca="1" si="200">I412</f>
        <v>0</v>
      </c>
      <c r="J401" s="520">
        <f t="shared" ca="1" si="200"/>
        <v>0</v>
      </c>
      <c r="K401" s="521">
        <f t="shared" ca="1" si="199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1">L403+L404</f>
        <v>0</v>
      </c>
      <c r="M402" s="155">
        <f t="shared" ca="1" si="201"/>
        <v>0</v>
      </c>
      <c r="N402" s="155">
        <f t="shared" ca="1" si="201"/>
        <v>0</v>
      </c>
      <c r="O402" s="155">
        <f t="shared" ref="O402:O410" ca="1" si="202">IF(L402&gt;0,N402*100/L402,0)</f>
        <v>0</v>
      </c>
      <c r="P402" s="155">
        <f t="shared" ref="P402:P410" ca="1" si="203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4">L406+L409</f>
        <v>0</v>
      </c>
      <c r="M403" s="45">
        <f t="shared" si="204"/>
        <v>0</v>
      </c>
      <c r="N403" s="45">
        <f t="shared" si="204"/>
        <v>0</v>
      </c>
      <c r="O403" s="45">
        <f t="shared" si="202"/>
        <v>0</v>
      </c>
      <c r="P403" s="45">
        <f t="shared" si="203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5">L407+L410</f>
        <v>0</v>
      </c>
      <c r="M404" s="45">
        <f t="shared" ca="1" si="205"/>
        <v>0</v>
      </c>
      <c r="N404" s="45">
        <f t="shared" ca="1" si="205"/>
        <v>0</v>
      </c>
      <c r="O404" s="45">
        <f t="shared" ca="1" si="202"/>
        <v>0</v>
      </c>
      <c r="P404" s="45">
        <f t="shared" ca="1" si="203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6">L406+L407</f>
        <v>0</v>
      </c>
      <c r="M405" s="38">
        <f t="shared" ca="1" si="206"/>
        <v>0</v>
      </c>
      <c r="N405" s="38">
        <f t="shared" ca="1" si="206"/>
        <v>0</v>
      </c>
      <c r="O405" s="38">
        <f t="shared" ca="1" si="202"/>
        <v>0</v>
      </c>
      <c r="P405" s="38">
        <f t="shared" ca="1" si="203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2"/>
        <v>0</v>
      </c>
      <c r="P406" s="45">
        <f t="shared" si="203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2"/>
        <v>0</v>
      </c>
      <c r="P407" s="45">
        <f t="shared" ca="1" si="203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7">L409+L410</f>
        <v>0</v>
      </c>
      <c r="M408" s="38">
        <f t="shared" ca="1" si="207"/>
        <v>0</v>
      </c>
      <c r="N408" s="38">
        <f t="shared" ca="1" si="207"/>
        <v>0</v>
      </c>
      <c r="O408" s="38">
        <f t="shared" ca="1" si="202"/>
        <v>0</v>
      </c>
      <c r="P408" s="38">
        <f t="shared" ca="1" si="203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2"/>
        <v>0</v>
      </c>
      <c r="P409" s="45">
        <f t="shared" si="203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2"/>
        <v>0</v>
      </c>
      <c r="P410" s="45">
        <f t="shared" ca="1" si="203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28" t="s">
        <v>38</v>
      </c>
      <c r="E411" s="529"/>
      <c r="F411" s="529"/>
      <c r="G411" s="530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177</v>
      </c>
      <c r="E412" s="178"/>
      <c r="F412" s="178"/>
      <c r="G412" s="179"/>
      <c r="H412" s="531" t="s">
        <v>69</v>
      </c>
      <c r="I412" s="269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8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38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39">
        <f t="shared" ca="1" si="208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ca="1">L419+L444+M467+L502+L523+L544+L629+L655+L685+L737+L754+L770+L786+L805</f>
        <v>36209798</v>
      </c>
      <c r="M414" s="547">
        <f t="shared" ref="M414:N414" si="209">M419+M444+M467+M502+M523+M544+M629+M655+M685+M737+M754+M770+M786+M805</f>
        <v>0</v>
      </c>
      <c r="N414" s="547">
        <f t="shared" ca="1" si="209"/>
        <v>2085377.55</v>
      </c>
      <c r="O414" s="547">
        <f ca="1">IF(L414&gt;0,N414*100/L414,0)</f>
        <v>5.7591526746434765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8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7" ca="1" si="210">I433</f>
        <v>535</v>
      </c>
      <c r="J417" s="563">
        <f t="shared" ca="1" si="210"/>
        <v>55</v>
      </c>
      <c r="K417" s="564">
        <f t="shared" ref="K417:K418" ca="1" si="211">IF(I417&gt;0,J417*100/I417,0)</f>
        <v>10.280373831775702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ref="I418:J418" ca="1" si="212">I434</f>
        <v>22</v>
      </c>
      <c r="J418" s="563">
        <f t="shared" ca="1" si="212"/>
        <v>2</v>
      </c>
      <c r="K418" s="564">
        <f t="shared" ca="1" si="211"/>
        <v>9.0909090909090917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36" t="s">
        <v>17</v>
      </c>
      <c r="E419" s="837"/>
      <c r="F419" s="837"/>
      <c r="G419" s="151"/>
      <c r="H419" s="274" t="s">
        <v>12</v>
      </c>
      <c r="I419" s="153"/>
      <c r="J419" s="153"/>
      <c r="K419" s="154"/>
      <c r="L419" s="155">
        <f t="shared" ref="L419:N419" ca="1" si="213">L420+L421</f>
        <v>1928580</v>
      </c>
      <c r="M419" s="155">
        <f t="shared" si="213"/>
        <v>0</v>
      </c>
      <c r="N419" s="155">
        <f t="shared" ca="1" si="213"/>
        <v>221780</v>
      </c>
      <c r="O419" s="155">
        <f t="shared" ref="O419:O424" ca="1" si="214">IF(L419&gt;0,N419*100/L419,0)</f>
        <v>11.499652594136618</v>
      </c>
      <c r="P419" s="155">
        <f t="shared" ref="P419:P424" si="21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7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6">L423+L430</f>
        <v>0</v>
      </c>
      <c r="M420" s="45">
        <f t="shared" si="216"/>
        <v>0</v>
      </c>
      <c r="N420" s="45">
        <f t="shared" si="216"/>
        <v>0</v>
      </c>
      <c r="O420" s="45">
        <f t="shared" si="214"/>
        <v>0</v>
      </c>
      <c r="P420" s="45">
        <f t="shared" si="21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7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7">L424+L431</f>
        <v>1928580</v>
      </c>
      <c r="M421" s="45">
        <f t="shared" si="217"/>
        <v>0</v>
      </c>
      <c r="N421" s="45">
        <f t="shared" ca="1" si="217"/>
        <v>221780</v>
      </c>
      <c r="O421" s="45">
        <f t="shared" ca="1" si="214"/>
        <v>11.499652594136618</v>
      </c>
      <c r="P421" s="45">
        <f t="shared" si="21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8">L423+L424</f>
        <v>1928580</v>
      </c>
      <c r="M422" s="38">
        <f t="shared" si="218"/>
        <v>0</v>
      </c>
      <c r="N422" s="38">
        <f t="shared" ca="1" si="218"/>
        <v>221780</v>
      </c>
      <c r="O422" s="38">
        <f t="shared" ca="1" si="214"/>
        <v>11.499652594136618</v>
      </c>
      <c r="P422" s="38">
        <f t="shared" si="21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7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4"/>
        <v>0</v>
      </c>
      <c r="P423" s="45">
        <f t="shared" si="21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7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"),1928580)</f>
        <v>1928580</v>
      </c>
      <c r="M424" s="93">
        <v>0</v>
      </c>
      <c r="N424" s="45">
        <f ca="1">N425+N426+N427+N428</f>
        <v>221780</v>
      </c>
      <c r="O424" s="45">
        <f t="shared" ca="1" si="214"/>
        <v>11.499652594136618</v>
      </c>
      <c r="P424" s="45">
        <f t="shared" si="21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569"/>
      <c r="D425" s="569"/>
      <c r="E425" s="569"/>
      <c r="F425" s="570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2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"),210600)</f>
        <v>210600</v>
      </c>
      <c r="O425" s="38"/>
      <c r="P425" s="38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569"/>
      <c r="D426" s="569"/>
      <c r="E426" s="569"/>
      <c r="F426" s="570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2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"),0)</f>
        <v>0</v>
      </c>
      <c r="O426" s="38"/>
      <c r="P426" s="38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569"/>
      <c r="D427" s="569"/>
      <c r="E427" s="569"/>
      <c r="F427" s="570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2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11" t="s">
        <v>189</v>
      </c>
      <c r="G428" s="213"/>
      <c r="H428" s="161" t="s">
        <v>12</v>
      </c>
      <c r="I428" s="37"/>
      <c r="J428" s="37"/>
      <c r="K428" s="38"/>
      <c r="L428" s="38"/>
      <c r="M428" s="38"/>
      <c r="N428" s="282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"),11180)</f>
        <v>11180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19">L430+L431</f>
        <v>0</v>
      </c>
      <c r="M429" s="38">
        <f t="shared" si="219"/>
        <v>0</v>
      </c>
      <c r="N429" s="38">
        <f t="shared" si="219"/>
        <v>0</v>
      </c>
      <c r="O429" s="38">
        <f t="shared" ref="O429:O431" ca="1" si="220">IF(L429&gt;0,N429*100/L429,0)</f>
        <v>0</v>
      </c>
      <c r="P429" s="38">
        <f t="shared" ref="P429:P431" si="22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0"/>
        <v>0</v>
      </c>
      <c r="P430" s="45">
        <f t="shared" si="22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0"/>
        <v>0</v>
      </c>
      <c r="P431" s="45">
        <f t="shared" si="22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572" t="s">
        <v>38</v>
      </c>
      <c r="E432" s="573"/>
      <c r="F432" s="573"/>
      <c r="G432" s="574"/>
      <c r="H432" s="575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"),55)</f>
        <v>55</v>
      </c>
      <c r="K433" s="195">
        <f t="shared" ref="K433:K435" ca="1" si="222">IF(I433&gt;0,J433*100/I433,0)</f>
        <v>10.280373831775702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3">I438+I440</f>
        <v>22</v>
      </c>
      <c r="J434" s="194">
        <f t="shared" ca="1" si="223"/>
        <v>2</v>
      </c>
      <c r="K434" s="195">
        <f t="shared" ca="1" si="222"/>
        <v>9.0909090909090917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6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77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"),55)</f>
        <v>55</v>
      </c>
      <c r="K435" s="496">
        <f t="shared" ca="1" si="222"/>
        <v>10.280373831775702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6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77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"),0)</f>
        <v>0</v>
      </c>
      <c r="K437" s="496">
        <f t="shared" ref="K437:K443" ca="1" si="224">IF(I437&gt;0,J437*100/I437,0)</f>
        <v>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"),0)</f>
        <v>0</v>
      </c>
      <c r="K438" s="38">
        <f t="shared" ca="1" si="224"/>
        <v>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6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77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"),55)</f>
        <v>55</v>
      </c>
      <c r="K439" s="496">
        <f t="shared" ca="1" si="224"/>
        <v>12.087912087912088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"),2)</f>
        <v>2</v>
      </c>
      <c r="K440" s="38">
        <f t="shared" ca="1" si="224"/>
        <v>10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69">
        <v>0</v>
      </c>
      <c r="K441" s="38">
        <f t="shared" ca="1" si="224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225">I460</f>
        <v>1355</v>
      </c>
      <c r="J442" s="583">
        <f t="shared" ca="1" si="225"/>
        <v>305</v>
      </c>
      <c r="K442" s="584">
        <f t="shared" ca="1" si="224"/>
        <v>22.509225092250922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226">I462</f>
        <v>4780</v>
      </c>
      <c r="J443" s="563">
        <f t="shared" ca="1" si="226"/>
        <v>1000</v>
      </c>
      <c r="K443" s="564">
        <f t="shared" ca="1" si="224"/>
        <v>20.92050209205021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569"/>
      <c r="C444" s="569" t="s">
        <v>16</v>
      </c>
      <c r="D444" s="838" t="s">
        <v>17</v>
      </c>
      <c r="E444" s="832"/>
      <c r="F444" s="832"/>
      <c r="G444" s="189"/>
      <c r="H444" s="591" t="s">
        <v>12</v>
      </c>
      <c r="I444" s="37"/>
      <c r="J444" s="37"/>
      <c r="K444" s="38"/>
      <c r="L444" s="195">
        <f t="shared" ref="L444:N444" ca="1" si="227">L445+L446</f>
        <v>9706580</v>
      </c>
      <c r="M444" s="195">
        <f t="shared" si="227"/>
        <v>0</v>
      </c>
      <c r="N444" s="195">
        <f t="shared" ca="1" si="227"/>
        <v>312943.33</v>
      </c>
      <c r="O444" s="195">
        <f t="shared" ref="O444:O449" ca="1" si="228">IF(L444&gt;0,N444*100/L444,0)</f>
        <v>3.2240328725462519</v>
      </c>
      <c r="P444" s="195">
        <f t="shared" ref="P444:P449" si="22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593"/>
      <c r="C445" s="593"/>
      <c r="D445" s="594"/>
      <c r="E445" s="595" t="s">
        <v>184</v>
      </c>
      <c r="F445" s="593"/>
      <c r="G445" s="596"/>
      <c r="H445" s="165" t="s">
        <v>12</v>
      </c>
      <c r="I445" s="44"/>
      <c r="J445" s="44"/>
      <c r="K445" s="45"/>
      <c r="L445" s="45">
        <f t="shared" ref="L445:N445" si="230">L448+L455</f>
        <v>0</v>
      </c>
      <c r="M445" s="45">
        <f t="shared" si="230"/>
        <v>0</v>
      </c>
      <c r="N445" s="45">
        <f t="shared" si="230"/>
        <v>0</v>
      </c>
      <c r="O445" s="45">
        <f t="shared" si="228"/>
        <v>0</v>
      </c>
      <c r="P445" s="45">
        <f t="shared" si="22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598"/>
      <c r="C446" s="593"/>
      <c r="D446" s="594"/>
      <c r="E446" s="595" t="s">
        <v>185</v>
      </c>
      <c r="F446" s="593"/>
      <c r="G446" s="596"/>
      <c r="H446" s="165" t="s">
        <v>12</v>
      </c>
      <c r="I446" s="44"/>
      <c r="J446" s="44"/>
      <c r="K446" s="45"/>
      <c r="L446" s="45">
        <f t="shared" ref="L446:N446" ca="1" si="231">L449+L456</f>
        <v>9706580</v>
      </c>
      <c r="M446" s="45">
        <f t="shared" si="231"/>
        <v>0</v>
      </c>
      <c r="N446" s="45">
        <f t="shared" ca="1" si="231"/>
        <v>312943.33</v>
      </c>
      <c r="O446" s="45">
        <f t="shared" ca="1" si="228"/>
        <v>3.2240328725462519</v>
      </c>
      <c r="P446" s="45">
        <f t="shared" si="22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569"/>
      <c r="D447" s="599" t="s">
        <v>20</v>
      </c>
      <c r="E447" s="569"/>
      <c r="F447" s="569"/>
      <c r="G447" s="189"/>
      <c r="H447" s="161" t="s">
        <v>12</v>
      </c>
      <c r="I447" s="162"/>
      <c r="J447" s="162"/>
      <c r="K447" s="163"/>
      <c r="L447" s="38">
        <f t="shared" ref="L447:N447" ca="1" si="232">L448+L449</f>
        <v>9706580</v>
      </c>
      <c r="M447" s="38">
        <f t="shared" si="232"/>
        <v>0</v>
      </c>
      <c r="N447" s="38">
        <f t="shared" ca="1" si="232"/>
        <v>312943.33</v>
      </c>
      <c r="O447" s="38">
        <f t="shared" ca="1" si="228"/>
        <v>3.2240328725462519</v>
      </c>
      <c r="P447" s="38">
        <f t="shared" si="22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598"/>
      <c r="C448" s="593"/>
      <c r="D448" s="594"/>
      <c r="E448" s="595" t="s">
        <v>184</v>
      </c>
      <c r="F448" s="593"/>
      <c r="G448" s="596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8"/>
        <v>0</v>
      </c>
      <c r="P448" s="45">
        <f t="shared" si="22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598"/>
      <c r="C449" s="593"/>
      <c r="D449" s="594"/>
      <c r="E449" s="595" t="s">
        <v>185</v>
      </c>
      <c r="F449" s="593"/>
      <c r="G449" s="596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"),9706580)</f>
        <v>9706580</v>
      </c>
      <c r="M449" s="93">
        <v>0</v>
      </c>
      <c r="N449" s="45">
        <f ca="1">N450+N451+N452+N453</f>
        <v>312943.33</v>
      </c>
      <c r="O449" s="45">
        <f t="shared" ca="1" si="228"/>
        <v>3.2240328725462519</v>
      </c>
      <c r="P449" s="45">
        <f t="shared" si="22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569"/>
      <c r="D450" s="569"/>
      <c r="E450" s="569"/>
      <c r="F450" s="570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2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"),178970)</f>
        <v>178970</v>
      </c>
      <c r="O450" s="38"/>
      <c r="P450" s="38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569"/>
      <c r="D451" s="569"/>
      <c r="E451" s="569"/>
      <c r="F451" s="570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2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"),0)</f>
        <v>0</v>
      </c>
      <c r="O451" s="38"/>
      <c r="P451" s="38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570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2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"),90133.33)</f>
        <v>90133.33</v>
      </c>
      <c r="O452" s="38"/>
      <c r="P452" s="38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570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2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"),43840)</f>
        <v>43840</v>
      </c>
      <c r="O453" s="38"/>
      <c r="P453" s="38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569"/>
      <c r="G454" s="189"/>
      <c r="H454" s="168" t="s">
        <v>12</v>
      </c>
      <c r="I454" s="162"/>
      <c r="J454" s="162"/>
      <c r="K454" s="163"/>
      <c r="L454" s="38">
        <f t="shared" ref="L454:N454" ca="1" si="233">L455+L456</f>
        <v>0</v>
      </c>
      <c r="M454" s="38">
        <f t="shared" si="233"/>
        <v>0</v>
      </c>
      <c r="N454" s="38">
        <f t="shared" si="233"/>
        <v>0</v>
      </c>
      <c r="O454" s="38">
        <f t="shared" ref="O454:O456" ca="1" si="234">IF(L454&gt;0,N454*100/L454,0)</f>
        <v>0</v>
      </c>
      <c r="P454" s="38">
        <f t="shared" ref="P454:P456" si="235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598"/>
      <c r="C455" s="598"/>
      <c r="D455" s="598"/>
      <c r="E455" s="600" t="s">
        <v>18</v>
      </c>
      <c r="F455" s="593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4"/>
        <v>0</v>
      </c>
      <c r="P455" s="45">
        <f t="shared" si="235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598"/>
      <c r="C456" s="598"/>
      <c r="D456" s="598"/>
      <c r="E456" s="600" t="s">
        <v>19</v>
      </c>
      <c r="F456" s="593"/>
      <c r="G456" s="596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4"/>
        <v>0</v>
      </c>
      <c r="P456" s="45">
        <f t="shared" si="235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02"/>
      <c r="C457" s="568" t="s">
        <v>16</v>
      </c>
      <c r="D457" s="603" t="s">
        <v>38</v>
      </c>
      <c r="E457" s="604"/>
      <c r="F457" s="605"/>
      <c r="G457" s="606"/>
      <c r="H457" s="175"/>
      <c r="I457" s="37"/>
      <c r="J457" s="37"/>
      <c r="K457" s="38"/>
      <c r="L457" s="38"/>
      <c r="M457" s="38"/>
      <c r="N457" s="38"/>
      <c r="O457" s="38"/>
      <c r="P457" s="38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8"/>
      <c r="C458" s="608"/>
      <c r="D458" s="609" t="s">
        <v>200</v>
      </c>
      <c r="E458" s="608"/>
      <c r="F458" s="594"/>
      <c r="G458" s="365"/>
      <c r="H458" s="369" t="s">
        <v>35</v>
      </c>
      <c r="I458" s="610">
        <v>0</v>
      </c>
      <c r="J458" s="610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8"/>
      <c r="C459" s="608"/>
      <c r="D459" s="609" t="s">
        <v>201</v>
      </c>
      <c r="E459" s="608"/>
      <c r="F459" s="594"/>
      <c r="G459" s="365"/>
      <c r="H459" s="369"/>
      <c r="I459" s="44"/>
      <c r="J459" s="44"/>
      <c r="K459" s="45"/>
      <c r="L459" s="45"/>
      <c r="M459" s="45"/>
      <c r="N459" s="45"/>
      <c r="O459" s="45"/>
      <c r="P459" s="45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02"/>
      <c r="C460" s="602"/>
      <c r="D460" s="611" t="s">
        <v>202</v>
      </c>
      <c r="E460" s="602"/>
      <c r="F460" s="612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"),305)</f>
        <v>305</v>
      </c>
      <c r="K460" s="38">
        <f ca="1">IF(I460&gt;0,J460*100/I460,0)</f>
        <v>22.509225092250922</v>
      </c>
      <c r="L460" s="38"/>
      <c r="M460" s="38"/>
      <c r="N460" s="38"/>
      <c r="O460" s="38"/>
      <c r="P460" s="38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02"/>
      <c r="C461" s="602"/>
      <c r="D461" s="611" t="s">
        <v>203</v>
      </c>
      <c r="E461" s="612"/>
      <c r="F461" s="612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02"/>
      <c r="C462" s="602"/>
      <c r="D462" s="611" t="s">
        <v>204</v>
      </c>
      <c r="E462" s="612"/>
      <c r="F462" s="612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"),1000)</f>
        <v>1000</v>
      </c>
      <c r="K462" s="38">
        <f ca="1">IF(I462&gt;0,J462*100/I462,0)</f>
        <v>20.92050209205021</v>
      </c>
      <c r="L462" s="38"/>
      <c r="M462" s="38"/>
      <c r="N462" s="38"/>
      <c r="O462" s="38"/>
      <c r="P462" s="38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02"/>
      <c r="C463" s="602"/>
      <c r="D463" s="611" t="s">
        <v>59</v>
      </c>
      <c r="E463" s="612"/>
      <c r="F463" s="569"/>
      <c r="G463" s="189"/>
      <c r="H463" s="182" t="s">
        <v>46</v>
      </c>
      <c r="I463" s="269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"),0)</f>
        <v>0</v>
      </c>
      <c r="K463" s="38"/>
      <c r="L463" s="38"/>
      <c r="M463" s="38"/>
      <c r="N463" s="38"/>
      <c r="O463" s="38"/>
      <c r="P463" s="38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02"/>
      <c r="C464" s="602"/>
      <c r="D464" s="602"/>
      <c r="E464" s="612"/>
      <c r="F464" s="612"/>
      <c r="G464" s="613"/>
      <c r="H464" s="182" t="s">
        <v>35</v>
      </c>
      <c r="I464" s="269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"),0)</f>
        <v>0</v>
      </c>
      <c r="K464" s="38"/>
      <c r="L464" s="38"/>
      <c r="M464" s="38"/>
      <c r="N464" s="38"/>
      <c r="O464" s="38"/>
      <c r="P464" s="38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3">
        <f ca="1">J485+J489+J492</f>
        <v>0</v>
      </c>
      <c r="K465" s="584">
        <f t="shared" ref="K465:K466" ca="1" si="236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3">
        <f ca="1">J483+J487</f>
        <v>0</v>
      </c>
      <c r="K466" s="564">
        <f t="shared" ca="1" si="236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569"/>
      <c r="C467" s="569" t="s">
        <v>16</v>
      </c>
      <c r="D467" s="838" t="s">
        <v>17</v>
      </c>
      <c r="E467" s="832"/>
      <c r="F467" s="832"/>
      <c r="G467" s="189"/>
      <c r="H467" s="591" t="s">
        <v>12</v>
      </c>
      <c r="I467" s="37"/>
      <c r="J467" s="37"/>
      <c r="K467" s="38"/>
      <c r="L467" s="195">
        <f>M468+M469</f>
        <v>0</v>
      </c>
      <c r="M467" s="195">
        <f t="shared" ref="M467:N467" si="237">M468+M469</f>
        <v>0</v>
      </c>
      <c r="N467" s="195">
        <f t="shared" ca="1" si="237"/>
        <v>260030</v>
      </c>
      <c r="O467" s="195">
        <f t="shared" ref="O467:O469" si="238">IF(M467&gt;0,N467*100/M467,0)</f>
        <v>0</v>
      </c>
      <c r="P467" s="195">
        <f t="shared" ref="P467:P472" si="239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593"/>
      <c r="C468" s="593"/>
      <c r="D468" s="594"/>
      <c r="E468" s="595" t="s">
        <v>184</v>
      </c>
      <c r="F468" s="593"/>
      <c r="G468" s="596"/>
      <c r="H468" s="165" t="s">
        <v>12</v>
      </c>
      <c r="I468" s="44"/>
      <c r="J468" s="44"/>
      <c r="K468" s="45"/>
      <c r="L468" s="45">
        <f t="shared" ref="L468:N468" si="240">L471+L478</f>
        <v>0</v>
      </c>
      <c r="M468" s="45">
        <f t="shared" si="240"/>
        <v>0</v>
      </c>
      <c r="N468" s="45">
        <f t="shared" si="240"/>
        <v>0</v>
      </c>
      <c r="O468" s="45">
        <f t="shared" si="238"/>
        <v>0</v>
      </c>
      <c r="P468" s="45">
        <f t="shared" si="239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598"/>
      <c r="C469" s="593"/>
      <c r="D469" s="594"/>
      <c r="E469" s="595" t="s">
        <v>185</v>
      </c>
      <c r="F469" s="593"/>
      <c r="G469" s="596"/>
      <c r="H469" s="165" t="s">
        <v>12</v>
      </c>
      <c r="I469" s="44"/>
      <c r="J469" s="44"/>
      <c r="K469" s="45"/>
      <c r="L469" s="45">
        <f t="shared" ref="L469:N469" ca="1" si="241">L472+L479</f>
        <v>16568775</v>
      </c>
      <c r="M469" s="45">
        <f t="shared" si="241"/>
        <v>0</v>
      </c>
      <c r="N469" s="45">
        <f t="shared" ca="1" si="241"/>
        <v>260030</v>
      </c>
      <c r="O469" s="45">
        <f t="shared" si="238"/>
        <v>0</v>
      </c>
      <c r="P469" s="45">
        <f t="shared" si="239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569"/>
      <c r="D470" s="599" t="s">
        <v>20</v>
      </c>
      <c r="E470" s="569"/>
      <c r="F470" s="569"/>
      <c r="G470" s="189"/>
      <c r="H470" s="161" t="s">
        <v>12</v>
      </c>
      <c r="I470" s="162"/>
      <c r="J470" s="162"/>
      <c r="K470" s="163"/>
      <c r="L470" s="38">
        <f t="shared" ref="L470:N470" ca="1" si="242">L471+L472</f>
        <v>16568775</v>
      </c>
      <c r="M470" s="38">
        <f t="shared" si="242"/>
        <v>0</v>
      </c>
      <c r="N470" s="38">
        <f t="shared" ca="1" si="242"/>
        <v>260030</v>
      </c>
      <c r="O470" s="38">
        <f t="shared" ref="O470:O472" ca="1" si="243">IF(L470&gt;0,N470*100/L470,0)</f>
        <v>1.5693978583208474</v>
      </c>
      <c r="P470" s="38">
        <f t="shared" si="239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598"/>
      <c r="C471" s="593"/>
      <c r="D471" s="594"/>
      <c r="E471" s="595" t="s">
        <v>184</v>
      </c>
      <c r="F471" s="593"/>
      <c r="G471" s="596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3"/>
        <v>0</v>
      </c>
      <c r="P471" s="45">
        <f t="shared" si="239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598"/>
      <c r="C472" s="593"/>
      <c r="D472" s="594"/>
      <c r="E472" s="595" t="s">
        <v>185</v>
      </c>
      <c r="F472" s="593"/>
      <c r="G472" s="596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"),16568775)</f>
        <v>16568775</v>
      </c>
      <c r="M472" s="93">
        <v>0</v>
      </c>
      <c r="N472" s="45">
        <f ca="1">N473+N474+N475+N476</f>
        <v>260030</v>
      </c>
      <c r="O472" s="45">
        <f t="shared" ca="1" si="243"/>
        <v>1.5693978583208474</v>
      </c>
      <c r="P472" s="45">
        <f t="shared" si="239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569"/>
      <c r="D473" s="569"/>
      <c r="E473" s="569"/>
      <c r="F473" s="570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2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"),137540)</f>
        <v>137540</v>
      </c>
      <c r="O473" s="38"/>
      <c r="P473" s="38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569"/>
      <c r="D474" s="569"/>
      <c r="E474" s="569"/>
      <c r="F474" s="570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2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"),0)</f>
        <v>0</v>
      </c>
      <c r="O474" s="38"/>
      <c r="P474" s="38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570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2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"),52720)</f>
        <v>52720</v>
      </c>
      <c r="O475" s="38"/>
      <c r="P475" s="38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570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2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"),69770)</f>
        <v>69770</v>
      </c>
      <c r="O476" s="38"/>
      <c r="P476" s="38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598"/>
      <c r="C478" s="598"/>
      <c r="D478" s="598"/>
      <c r="E478" s="600" t="s">
        <v>18</v>
      </c>
      <c r="F478" s="598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598"/>
      <c r="C479" s="598"/>
      <c r="D479" s="598"/>
      <c r="E479" s="600" t="s">
        <v>19</v>
      </c>
      <c r="F479" s="598"/>
      <c r="G479" s="596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02"/>
      <c r="C480" s="568" t="s">
        <v>16</v>
      </c>
      <c r="D480" s="614" t="s">
        <v>38</v>
      </c>
      <c r="E480" s="604"/>
      <c r="F480" s="605"/>
      <c r="G480" s="606"/>
      <c r="H480" s="175"/>
      <c r="I480" s="37"/>
      <c r="J480" s="37"/>
      <c r="K480" s="38"/>
      <c r="L480" s="38"/>
      <c r="M480" s="38"/>
      <c r="N480" s="38"/>
      <c r="O480" s="38"/>
      <c r="P480" s="38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02"/>
      <c r="C481" s="602"/>
      <c r="D481" s="615" t="s">
        <v>206</v>
      </c>
      <c r="E481" s="602"/>
      <c r="F481" s="602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02"/>
      <c r="C482" s="602"/>
      <c r="D482" s="602"/>
      <c r="E482" s="611" t="s">
        <v>207</v>
      </c>
      <c r="F482" s="602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02"/>
      <c r="C483" s="602"/>
      <c r="D483" s="602"/>
      <c r="E483" s="602"/>
      <c r="F483" s="611" t="s">
        <v>208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"),0)</f>
        <v>0</v>
      </c>
      <c r="K483" s="38">
        <f ca="1">IF(I483&gt;0,J483*100/I483,0)</f>
        <v>0</v>
      </c>
      <c r="L483" s="38"/>
      <c r="M483" s="38"/>
      <c r="N483" s="38"/>
      <c r="O483" s="38"/>
      <c r="P483" s="38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02"/>
      <c r="C484" s="602"/>
      <c r="D484" s="602"/>
      <c r="E484" s="602"/>
      <c r="F484" s="611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"),0)</f>
        <v>0</v>
      </c>
      <c r="K484" s="38"/>
      <c r="L484" s="38"/>
      <c r="M484" s="38"/>
      <c r="N484" s="38"/>
      <c r="O484" s="38"/>
      <c r="P484" s="38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02"/>
      <c r="C485" s="602"/>
      <c r="D485" s="602"/>
      <c r="E485" s="602"/>
      <c r="F485" s="611" t="s">
        <v>210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"),0)</f>
        <v>0</v>
      </c>
      <c r="K485" s="38">
        <f ca="1">IF(I485&gt;0,J485*100/I485,0)</f>
        <v>0</v>
      </c>
      <c r="L485" s="38"/>
      <c r="M485" s="38"/>
      <c r="N485" s="38"/>
      <c r="O485" s="38"/>
      <c r="P485" s="38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02"/>
      <c r="C486" s="602"/>
      <c r="D486" s="602"/>
      <c r="E486" s="611" t="s">
        <v>62</v>
      </c>
      <c r="F486" s="602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02"/>
      <c r="C487" s="602"/>
      <c r="D487" s="602"/>
      <c r="E487" s="602"/>
      <c r="F487" s="611" t="s">
        <v>208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"),0)</f>
        <v>0</v>
      </c>
      <c r="K487" s="38">
        <f ca="1">IF(I487&gt;0,J487*100/I487,0)</f>
        <v>0</v>
      </c>
      <c r="L487" s="38"/>
      <c r="M487" s="38"/>
      <c r="N487" s="38"/>
      <c r="O487" s="38"/>
      <c r="P487" s="38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02"/>
      <c r="C488" s="602"/>
      <c r="D488" s="602"/>
      <c r="E488" s="602"/>
      <c r="F488" s="611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"),0)</f>
        <v>0</v>
      </c>
      <c r="K488" s="38"/>
      <c r="L488" s="38"/>
      <c r="M488" s="38"/>
      <c r="N488" s="38"/>
      <c r="O488" s="38"/>
      <c r="P488" s="38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02"/>
      <c r="C489" s="602"/>
      <c r="D489" s="602"/>
      <c r="E489" s="602"/>
      <c r="F489" s="611" t="s">
        <v>212</v>
      </c>
      <c r="G489" s="175"/>
      <c r="H489" s="616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"),0)</f>
        <v>0</v>
      </c>
      <c r="K489" s="38">
        <f ca="1">IF(I489&gt;0,J489*100/I489,0)</f>
        <v>0</v>
      </c>
      <c r="L489" s="38"/>
      <c r="M489" s="38"/>
      <c r="N489" s="38"/>
      <c r="O489" s="38"/>
      <c r="P489" s="38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02"/>
      <c r="C490" s="602"/>
      <c r="D490" s="602"/>
      <c r="E490" s="611" t="s">
        <v>63</v>
      </c>
      <c r="F490" s="617"/>
      <c r="G490" s="175"/>
      <c r="H490" s="616"/>
      <c r="I490" s="37"/>
      <c r="J490" s="37"/>
      <c r="K490" s="38"/>
      <c r="L490" s="38"/>
      <c r="M490" s="38"/>
      <c r="N490" s="38"/>
      <c r="O490" s="38"/>
      <c r="P490" s="38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02"/>
      <c r="C491" s="602"/>
      <c r="D491" s="602"/>
      <c r="E491" s="602"/>
      <c r="F491" s="611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"),0)</f>
        <v>0</v>
      </c>
      <c r="K491" s="38"/>
      <c r="L491" s="38"/>
      <c r="M491" s="38"/>
      <c r="N491" s="38"/>
      <c r="O491" s="38"/>
      <c r="P491" s="38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02"/>
      <c r="C492" s="602"/>
      <c r="D492" s="602"/>
      <c r="E492" s="602"/>
      <c r="F492" s="611" t="s">
        <v>214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"),0)</f>
        <v>0</v>
      </c>
      <c r="K492" s="38">
        <f ca="1">IF(I492&gt;0,J492*100/I492,0)</f>
        <v>0</v>
      </c>
      <c r="L492" s="38"/>
      <c r="M492" s="38"/>
      <c r="N492" s="38"/>
      <c r="O492" s="38"/>
      <c r="P492" s="38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02"/>
      <c r="C493" s="602"/>
      <c r="D493" s="618" t="s">
        <v>59</v>
      </c>
      <c r="E493" s="602"/>
      <c r="F493" s="612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02"/>
      <c r="C494" s="602"/>
      <c r="D494" s="602"/>
      <c r="E494" s="611" t="s">
        <v>207</v>
      </c>
      <c r="F494" s="612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02"/>
      <c r="C495" s="602"/>
      <c r="D495" s="602"/>
      <c r="E495" s="602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02"/>
      <c r="C496" s="602"/>
      <c r="D496" s="602"/>
      <c r="E496" s="602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"),0)</f>
        <v>0</v>
      </c>
      <c r="K496" s="38"/>
      <c r="L496" s="38"/>
      <c r="M496" s="38"/>
      <c r="N496" s="38"/>
      <c r="O496" s="38"/>
      <c r="P496" s="38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02"/>
      <c r="C497" s="602"/>
      <c r="D497" s="602"/>
      <c r="E497" s="611" t="s">
        <v>62</v>
      </c>
      <c r="F497" s="612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02"/>
      <c r="C498" s="602"/>
      <c r="D498" s="602"/>
      <c r="E498" s="612"/>
      <c r="F498" s="619" t="s">
        <v>217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"),0)</f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02"/>
      <c r="C499" s="602"/>
      <c r="D499" s="602"/>
      <c r="E499" s="612"/>
      <c r="F499" s="619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"),0)</f>
        <v>0</v>
      </c>
      <c r="K499" s="38"/>
      <c r="L499" s="38"/>
      <c r="M499" s="38"/>
      <c r="N499" s="38"/>
      <c r="O499" s="38"/>
      <c r="P499" s="38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47">J516</f>
        <v>0</v>
      </c>
      <c r="K500" s="627">
        <f t="shared" ref="K500:K501" si="248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0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47"/>
        <v>0</v>
      </c>
      <c r="K501" s="636">
        <f t="shared" si="248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593"/>
      <c r="C502" s="593" t="s">
        <v>16</v>
      </c>
      <c r="D502" s="839" t="s">
        <v>17</v>
      </c>
      <c r="E502" s="832"/>
      <c r="F502" s="832"/>
      <c r="G502" s="596"/>
      <c r="H502" s="639" t="s">
        <v>12</v>
      </c>
      <c r="I502" s="44"/>
      <c r="J502" s="44"/>
      <c r="K502" s="45"/>
      <c r="L502" s="640">
        <f t="shared" ref="L502:N502" si="249">L503+L504</f>
        <v>0</v>
      </c>
      <c r="M502" s="640">
        <f t="shared" si="249"/>
        <v>0</v>
      </c>
      <c r="N502" s="640">
        <f t="shared" si="249"/>
        <v>0</v>
      </c>
      <c r="O502" s="640">
        <f t="shared" ref="O502:O507" si="250">IF(L502&gt;0,N502*100/L502,0)</f>
        <v>0</v>
      </c>
      <c r="P502" s="640">
        <f t="shared" ref="P502:P507" si="251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593"/>
      <c r="C503" s="593"/>
      <c r="D503" s="594"/>
      <c r="E503" s="595" t="s">
        <v>184</v>
      </c>
      <c r="F503" s="593"/>
      <c r="G503" s="596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598"/>
      <c r="C504" s="593"/>
      <c r="D504" s="594"/>
      <c r="E504" s="595" t="s">
        <v>185</v>
      </c>
      <c r="F504" s="593"/>
      <c r="G504" s="596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598"/>
      <c r="C505" s="593"/>
      <c r="D505" s="641" t="s">
        <v>20</v>
      </c>
      <c r="E505" s="593"/>
      <c r="F505" s="593"/>
      <c r="G505" s="596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598"/>
      <c r="C506" s="593"/>
      <c r="D506" s="594"/>
      <c r="E506" s="595" t="s">
        <v>184</v>
      </c>
      <c r="F506" s="593"/>
      <c r="G506" s="596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598"/>
      <c r="C507" s="593"/>
      <c r="D507" s="594"/>
      <c r="E507" s="595" t="s">
        <v>185</v>
      </c>
      <c r="F507" s="593"/>
      <c r="G507" s="596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598"/>
      <c r="C508" s="593"/>
      <c r="D508" s="593"/>
      <c r="E508" s="593"/>
      <c r="F508" s="595" t="s">
        <v>186</v>
      </c>
      <c r="G508" s="596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598"/>
      <c r="C509" s="593"/>
      <c r="D509" s="593"/>
      <c r="E509" s="593"/>
      <c r="F509" s="595" t="s">
        <v>187</v>
      </c>
      <c r="G509" s="596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598"/>
      <c r="C510" s="598"/>
      <c r="D510" s="598"/>
      <c r="E510" s="593"/>
      <c r="F510" s="595" t="s">
        <v>188</v>
      </c>
      <c r="G510" s="596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598"/>
      <c r="C511" s="598"/>
      <c r="D511" s="598"/>
      <c r="E511" s="593"/>
      <c r="F511" s="595" t="s">
        <v>189</v>
      </c>
      <c r="G511" s="596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598"/>
      <c r="C512" s="598"/>
      <c r="D512" s="641" t="s">
        <v>21</v>
      </c>
      <c r="E512" s="598"/>
      <c r="F512" s="593"/>
      <c r="G512" s="596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598"/>
      <c r="C513" s="598"/>
      <c r="D513" s="598"/>
      <c r="E513" s="600" t="s">
        <v>18</v>
      </c>
      <c r="F513" s="593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598"/>
      <c r="C514" s="598"/>
      <c r="D514" s="593"/>
      <c r="E514" s="600" t="s">
        <v>19</v>
      </c>
      <c r="F514" s="593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8"/>
      <c r="C515" s="598" t="s">
        <v>16</v>
      </c>
      <c r="D515" s="643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8"/>
      <c r="C516" s="608"/>
      <c r="D516" s="609" t="s">
        <v>221</v>
      </c>
      <c r="E516" s="594"/>
      <c r="F516" s="594"/>
      <c r="G516" s="365"/>
      <c r="H516" s="646" t="s">
        <v>109</v>
      </c>
      <c r="I516" s="44"/>
      <c r="J516" s="610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8"/>
      <c r="C517" s="608"/>
      <c r="D517" s="609" t="s">
        <v>222</v>
      </c>
      <c r="E517" s="594"/>
      <c r="F517" s="594"/>
      <c r="G517" s="365"/>
      <c r="H517" s="647" t="s">
        <v>35</v>
      </c>
      <c r="I517" s="648"/>
      <c r="J517" s="648">
        <f>J518+J519</f>
        <v>0</v>
      </c>
      <c r="K517" s="649">
        <f t="shared" si="258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8"/>
      <c r="C518" s="608"/>
      <c r="D518" s="608"/>
      <c r="E518" s="609" t="s">
        <v>223</v>
      </c>
      <c r="F518" s="594"/>
      <c r="G518" s="365"/>
      <c r="H518" s="369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8"/>
      <c r="C519" s="608"/>
      <c r="D519" s="608"/>
      <c r="E519" s="609" t="s">
        <v>224</v>
      </c>
      <c r="F519" s="594"/>
      <c r="G519" s="365"/>
      <c r="H519" s="646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69">
        <f t="shared" ref="I522:J522" ca="1" si="259">I537</f>
        <v>80</v>
      </c>
      <c r="J522" s="669">
        <f t="shared" ca="1" si="259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>
      <c r="A523" s="590"/>
      <c r="B523" s="569"/>
      <c r="C523" s="569" t="s">
        <v>16</v>
      </c>
      <c r="D523" s="838" t="s">
        <v>17</v>
      </c>
      <c r="E523" s="832"/>
      <c r="F523" s="832"/>
      <c r="G523" s="189"/>
      <c r="H523" s="591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si="260"/>
        <v>0</v>
      </c>
      <c r="N523" s="195">
        <f t="shared" ca="1" si="260"/>
        <v>17480</v>
      </c>
      <c r="O523" s="195">
        <f t="shared" ref="O523:O528" ca="1" si="261">IF(L523&gt;0,N523*100/L523,0)</f>
        <v>2.4804177545691908</v>
      </c>
      <c r="P523" s="195">
        <f t="shared" ref="P523:P528" si="262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593"/>
      <c r="C524" s="593"/>
      <c r="D524" s="594"/>
      <c r="E524" s="595" t="s">
        <v>184</v>
      </c>
      <c r="F524" s="593"/>
      <c r="G524" s="596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598"/>
      <c r="C525" s="593"/>
      <c r="D525" s="594"/>
      <c r="E525" s="595" t="s">
        <v>185</v>
      </c>
      <c r="F525" s="593"/>
      <c r="G525" s="596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si="264"/>
        <v>0</v>
      </c>
      <c r="N525" s="45">
        <f t="shared" ca="1" si="264"/>
        <v>17480</v>
      </c>
      <c r="O525" s="45">
        <f t="shared" ca="1" si="261"/>
        <v>2.4804177545691908</v>
      </c>
      <c r="P525" s="45">
        <f t="shared" si="262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>
      <c r="A526" s="590"/>
      <c r="B526" s="568"/>
      <c r="C526" s="569"/>
      <c r="D526" s="599" t="s">
        <v>20</v>
      </c>
      <c r="E526" s="569"/>
      <c r="F526" s="569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si="265"/>
        <v>0</v>
      </c>
      <c r="N526" s="38">
        <f t="shared" ca="1" si="265"/>
        <v>17480</v>
      </c>
      <c r="O526" s="38">
        <f t="shared" ca="1" si="261"/>
        <v>2.4804177545691908</v>
      </c>
      <c r="P526" s="38">
        <f t="shared" si="262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598"/>
      <c r="C527" s="593"/>
      <c r="D527" s="594"/>
      <c r="E527" s="595" t="s">
        <v>184</v>
      </c>
      <c r="F527" s="593"/>
      <c r="G527" s="596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598"/>
      <c r="C528" s="593"/>
      <c r="D528" s="594"/>
      <c r="E528" s="595" t="s">
        <v>185</v>
      </c>
      <c r="F528" s="593"/>
      <c r="G528" s="596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v>0</v>
      </c>
      <c r="N528" s="45">
        <f ca="1">N529+N530+N531+N532</f>
        <v>17480</v>
      </c>
      <c r="O528" s="45">
        <f t="shared" ca="1" si="261"/>
        <v>2.4804177545691908</v>
      </c>
      <c r="P528" s="45">
        <f t="shared" si="262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>
      <c r="A529" s="567"/>
      <c r="B529" s="568"/>
      <c r="C529" s="569"/>
      <c r="D529" s="569"/>
      <c r="E529" s="569"/>
      <c r="F529" s="570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2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"),16740)</f>
        <v>16740</v>
      </c>
      <c r="O529" s="38"/>
      <c r="P529" s="38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>
      <c r="A530" s="567"/>
      <c r="B530" s="568"/>
      <c r="C530" s="569"/>
      <c r="D530" s="569"/>
      <c r="E530" s="569"/>
      <c r="F530" s="570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2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"),0)</f>
        <v>0</v>
      </c>
      <c r="O530" s="38"/>
      <c r="P530" s="38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>
      <c r="A531" s="567"/>
      <c r="B531" s="568"/>
      <c r="C531" s="569"/>
      <c r="D531" s="569"/>
      <c r="E531" s="569"/>
      <c r="F531" s="570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2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>
      <c r="A532" s="567"/>
      <c r="B532" s="568"/>
      <c r="C532" s="569"/>
      <c r="D532" s="569"/>
      <c r="E532" s="569"/>
      <c r="F532" s="570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2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"),740)</f>
        <v>740</v>
      </c>
      <c r="O532" s="38"/>
      <c r="P532" s="38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>
      <c r="A533" s="590"/>
      <c r="B533" s="568"/>
      <c r="C533" s="569"/>
      <c r="D533" s="599" t="s">
        <v>21</v>
      </c>
      <c r="E533" s="569"/>
      <c r="F533" s="569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598"/>
      <c r="C534" s="593"/>
      <c r="D534" s="593"/>
      <c r="E534" s="595" t="s">
        <v>18</v>
      </c>
      <c r="F534" s="593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598"/>
      <c r="C535" s="593"/>
      <c r="D535" s="593"/>
      <c r="E535" s="595" t="s">
        <v>19</v>
      </c>
      <c r="F535" s="593"/>
      <c r="G535" s="596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>
      <c r="A536" s="601"/>
      <c r="B536" s="602"/>
      <c r="C536" s="569" t="s">
        <v>16</v>
      </c>
      <c r="D536" s="672" t="s">
        <v>38</v>
      </c>
      <c r="E536" s="605"/>
      <c r="F536" s="605"/>
      <c r="G536" s="606"/>
      <c r="H536" s="175"/>
      <c r="I536" s="162"/>
      <c r="J536" s="162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>
      <c r="A537" s="567"/>
      <c r="B537" s="568"/>
      <c r="C537" s="569"/>
      <c r="D537" s="673" t="s">
        <v>227</v>
      </c>
      <c r="E537" s="569"/>
      <c r="F537" s="569"/>
      <c r="G537" s="189"/>
      <c r="H537" s="36" t="s">
        <v>35</v>
      </c>
      <c r="I537" s="674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IF(AND(J538=I538,J539=I539,J540=I540,J541=I541),I537,0)</f>
        <v>0</v>
      </c>
      <c r="K537" s="195">
        <f t="shared" ref="K537:K543" ca="1" si="269">IF(I537&gt;0,J537*100/I537,0)</f>
        <v>0</v>
      </c>
      <c r="L537" s="38"/>
      <c r="M537" s="38"/>
      <c r="N537" s="38"/>
      <c r="O537" s="38"/>
      <c r="P537" s="38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>
      <c r="A538" s="567"/>
      <c r="B538" s="568"/>
      <c r="C538" s="569"/>
      <c r="D538" s="570"/>
      <c r="E538" s="676" t="s">
        <v>228</v>
      </c>
      <c r="F538" s="569"/>
      <c r="G538" s="189"/>
      <c r="H538" s="36" t="s">
        <v>35</v>
      </c>
      <c r="I538" s="269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"),30)</f>
        <v>30</v>
      </c>
      <c r="K538" s="38">
        <f t="shared" ca="1" si="269"/>
        <v>37.5</v>
      </c>
      <c r="L538" s="38"/>
      <c r="M538" s="38"/>
      <c r="N538" s="38"/>
      <c r="O538" s="38"/>
      <c r="P538" s="38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>
      <c r="A539" s="567"/>
      <c r="B539" s="568"/>
      <c r="C539" s="569"/>
      <c r="D539" s="570"/>
      <c r="E539" s="676" t="s">
        <v>229</v>
      </c>
      <c r="F539" s="569"/>
      <c r="G539" s="189"/>
      <c r="H539" s="36" t="s">
        <v>35</v>
      </c>
      <c r="I539" s="269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>
      <c r="A540" s="567"/>
      <c r="B540" s="568"/>
      <c r="C540" s="569"/>
      <c r="D540" s="570"/>
      <c r="E540" s="676" t="s">
        <v>230</v>
      </c>
      <c r="F540" s="569"/>
      <c r="G540" s="189"/>
      <c r="H540" s="36" t="s">
        <v>35</v>
      </c>
      <c r="I540" s="269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>
      <c r="A541" s="567"/>
      <c r="B541" s="568"/>
      <c r="C541" s="569"/>
      <c r="D541" s="570"/>
      <c r="E541" s="677" t="s">
        <v>231</v>
      </c>
      <c r="F541" s="569"/>
      <c r="G541" s="189"/>
      <c r="H541" s="36" t="s">
        <v>35</v>
      </c>
      <c r="I541" s="269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"),0)</f>
        <v>0</v>
      </c>
      <c r="K541" s="38">
        <f t="shared" ca="1" si="269"/>
        <v>0</v>
      </c>
      <c r="L541" s="38"/>
      <c r="M541" s="38"/>
      <c r="N541" s="38"/>
      <c r="O541" s="38"/>
      <c r="P541" s="38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>
      <c r="A542" s="567"/>
      <c r="B542" s="568"/>
      <c r="C542" s="569"/>
      <c r="D542" s="570" t="s">
        <v>59</v>
      </c>
      <c r="E542" s="569"/>
      <c r="F542" s="569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"),0)</f>
        <v>0</v>
      </c>
      <c r="K542" s="38">
        <f t="shared" ca="1" si="269"/>
        <v>0</v>
      </c>
      <c r="L542" s="38"/>
      <c r="M542" s="38"/>
      <c r="N542" s="38"/>
      <c r="O542" s="38"/>
      <c r="P542" s="38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70">I559</f>
        <v>1172953</v>
      </c>
      <c r="J543" s="680">
        <f t="shared" ca="1" si="270"/>
        <v>0</v>
      </c>
      <c r="K543" s="681">
        <f t="shared" ca="1" si="269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40" t="s">
        <v>17</v>
      </c>
      <c r="E544" s="837"/>
      <c r="F544" s="837"/>
      <c r="G544" s="684"/>
      <c r="H544" s="274" t="s">
        <v>12</v>
      </c>
      <c r="I544" s="153"/>
      <c r="J544" s="153"/>
      <c r="K544" s="154"/>
      <c r="L544" s="155">
        <f t="shared" ref="L544:N544" ca="1" si="271">L545+L546</f>
        <v>9366753</v>
      </c>
      <c r="M544" s="155">
        <f t="shared" si="271"/>
        <v>0</v>
      </c>
      <c r="N544" s="155">
        <f t="shared" ca="1" si="271"/>
        <v>498077.2</v>
      </c>
      <c r="O544" s="155">
        <f t="shared" ref="O544:O549" ca="1" si="272">IF(L544&gt;0,N544*100/L544,0)</f>
        <v>5.3175011660924545</v>
      </c>
      <c r="P544" s="155">
        <f t="shared" ref="P544:P549" si="273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593"/>
      <c r="C545" s="593"/>
      <c r="D545" s="593"/>
      <c r="E545" s="595" t="s">
        <v>184</v>
      </c>
      <c r="F545" s="593"/>
      <c r="G545" s="596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598"/>
      <c r="C546" s="593"/>
      <c r="D546" s="593"/>
      <c r="E546" s="595" t="s">
        <v>185</v>
      </c>
      <c r="F546" s="593"/>
      <c r="G546" s="596"/>
      <c r="H546" s="165" t="s">
        <v>12</v>
      </c>
      <c r="I546" s="44"/>
      <c r="J546" s="44"/>
      <c r="K546" s="45"/>
      <c r="L546" s="45">
        <f t="shared" ca="1" si="274"/>
        <v>9366753</v>
      </c>
      <c r="M546" s="45">
        <f t="shared" ref="M546:N546" si="276">M549+M556</f>
        <v>0</v>
      </c>
      <c r="N546" s="45">
        <f t="shared" ca="1" si="276"/>
        <v>498077.2</v>
      </c>
      <c r="O546" s="45">
        <f t="shared" ca="1" si="272"/>
        <v>5.3175011660924545</v>
      </c>
      <c r="P546" s="45">
        <f t="shared" si="273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569"/>
      <c r="D547" s="599" t="s">
        <v>20</v>
      </c>
      <c r="E547" s="569"/>
      <c r="F547" s="569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9366753</v>
      </c>
      <c r="M547" s="38">
        <f t="shared" si="277"/>
        <v>0</v>
      </c>
      <c r="N547" s="38">
        <f t="shared" ca="1" si="277"/>
        <v>498077.2</v>
      </c>
      <c r="O547" s="38">
        <f t="shared" ca="1" si="272"/>
        <v>5.3175011660924545</v>
      </c>
      <c r="P547" s="38">
        <f t="shared" si="273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598"/>
      <c r="C548" s="593"/>
      <c r="D548" s="594"/>
      <c r="E548" s="595" t="s">
        <v>184</v>
      </c>
      <c r="F548" s="593"/>
      <c r="G548" s="596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598"/>
      <c r="C549" s="593"/>
      <c r="D549" s="594"/>
      <c r="E549" s="595" t="s">
        <v>185</v>
      </c>
      <c r="F549" s="593"/>
      <c r="G549" s="596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"),9366753)</f>
        <v>9366753</v>
      </c>
      <c r="M549" s="93">
        <v>0</v>
      </c>
      <c r="N549" s="45">
        <f ca="1">N550+N551+N552+N553+N554</f>
        <v>498077.2</v>
      </c>
      <c r="O549" s="45">
        <f t="shared" ca="1" si="272"/>
        <v>5.3175011660924545</v>
      </c>
      <c r="P549" s="45">
        <f t="shared" si="273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569"/>
      <c r="D550" s="569"/>
      <c r="E550" s="569"/>
      <c r="F550" s="570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2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569"/>
      <c r="F551" s="570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2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"),0)</f>
        <v>0</v>
      </c>
      <c r="O551" s="38"/>
      <c r="P551" s="38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569"/>
      <c r="D552" s="569"/>
      <c r="E552" s="569"/>
      <c r="F552" s="570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2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"),89320)</f>
        <v>89320</v>
      </c>
      <c r="O552" s="38"/>
      <c r="P552" s="38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569"/>
      <c r="F553" s="570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2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"),349140.2)</f>
        <v>349140.2</v>
      </c>
      <c r="O553" s="38"/>
      <c r="P553" s="38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569"/>
      <c r="F554" s="570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2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"),59617)</f>
        <v>59617</v>
      </c>
      <c r="O554" s="38"/>
      <c r="P554" s="38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569"/>
      <c r="F555" s="569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598"/>
      <c r="C556" s="598"/>
      <c r="D556" s="593"/>
      <c r="E556" s="595" t="s">
        <v>18</v>
      </c>
      <c r="F556" s="593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598"/>
      <c r="C557" s="598"/>
      <c r="D557" s="593"/>
      <c r="E557" s="595" t="s">
        <v>19</v>
      </c>
      <c r="F557" s="593"/>
      <c r="G557" s="596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02"/>
      <c r="C558" s="568" t="s">
        <v>16</v>
      </c>
      <c r="D558" s="672" t="s">
        <v>38</v>
      </c>
      <c r="E558" s="605"/>
      <c r="F558" s="605"/>
      <c r="G558" s="606"/>
      <c r="H558" s="175"/>
      <c r="I558" s="162"/>
      <c r="J558" s="162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69">
        <f t="shared" ref="I559:J559" ca="1" si="281">I576</f>
        <v>1172953</v>
      </c>
      <c r="J559" s="669">
        <f t="shared" ca="1" si="281"/>
        <v>0</v>
      </c>
      <c r="K559" s="670">
        <f t="shared" ref="K559:K561" ca="1" si="282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02"/>
      <c r="C560" s="615" t="s">
        <v>235</v>
      </c>
      <c r="D560" s="602"/>
      <c r="E560" s="612"/>
      <c r="F560" s="612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10646.4</v>
      </c>
      <c r="K560" s="410">
        <f t="shared" ca="1" si="282"/>
        <v>0.90765785159337165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02"/>
      <c r="C561" s="602"/>
      <c r="D561" s="612"/>
      <c r="E561" s="612"/>
      <c r="F561" s="612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1894</v>
      </c>
      <c r="K561" s="410">
        <f t="shared" ca="1" si="282"/>
        <v>1.5011849374242077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02"/>
      <c r="C562" s="602"/>
      <c r="D562" s="187" t="s">
        <v>236</v>
      </c>
      <c r="E562" s="612"/>
      <c r="F562" s="612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"),10090.9)</f>
        <v>10090.9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02"/>
      <c r="C563" s="602"/>
      <c r="D563" s="602"/>
      <c r="E563" s="612"/>
      <c r="F563" s="612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"),1780)</f>
        <v>1780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02"/>
      <c r="C564" s="602"/>
      <c r="D564" s="187" t="s">
        <v>237</v>
      </c>
      <c r="E564" s="612"/>
      <c r="F564" s="612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"),435)</f>
        <v>435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02"/>
      <c r="C565" s="602"/>
      <c r="D565" s="612"/>
      <c r="E565" s="612"/>
      <c r="F565" s="612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"),93)</f>
        <v>93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02"/>
      <c r="C566" s="602"/>
      <c r="D566" s="187" t="s">
        <v>238</v>
      </c>
      <c r="E566" s="612"/>
      <c r="F566" s="612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"),120.5)</f>
        <v>120.5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02"/>
      <c r="C567" s="602"/>
      <c r="D567" s="612"/>
      <c r="E567" s="612"/>
      <c r="F567" s="612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"),21)</f>
        <v>21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02"/>
      <c r="C568" s="615" t="s">
        <v>239</v>
      </c>
      <c r="D568" s="612"/>
      <c r="E568" s="612"/>
      <c r="F568" s="612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0</v>
      </c>
      <c r="K568" s="410">
        <f t="shared" ref="K568:K569" ca="1" si="285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02"/>
      <c r="C569" s="602"/>
      <c r="D569" s="602"/>
      <c r="E569" s="612"/>
      <c r="F569" s="612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0</v>
      </c>
      <c r="K569" s="410">
        <f t="shared" ca="1" si="285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02"/>
      <c r="C570" s="602"/>
      <c r="D570" s="187" t="s">
        <v>240</v>
      </c>
      <c r="E570" s="602"/>
      <c r="F570" s="612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"),0)</f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02"/>
      <c r="C571" s="602"/>
      <c r="D571" s="602"/>
      <c r="E571" s="612"/>
      <c r="F571" s="612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"),0)</f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02"/>
      <c r="C572" s="602"/>
      <c r="D572" s="187" t="s">
        <v>241</v>
      </c>
      <c r="E572" s="612"/>
      <c r="F572" s="612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"),0)</f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02"/>
      <c r="C573" s="602"/>
      <c r="D573" s="612"/>
      <c r="E573" s="612"/>
      <c r="F573" s="612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"),0)</f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02"/>
      <c r="C574" s="602"/>
      <c r="D574" s="187" t="s">
        <v>242</v>
      </c>
      <c r="E574" s="612"/>
      <c r="F574" s="612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"),0)</f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02"/>
      <c r="C575" s="602"/>
      <c r="D575" s="602"/>
      <c r="E575" s="612"/>
      <c r="F575" s="612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"),0)</f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02"/>
      <c r="C576" s="615" t="s">
        <v>243</v>
      </c>
      <c r="D576" s="602"/>
      <c r="E576" s="602"/>
      <c r="F576" s="612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0</v>
      </c>
      <c r="K576" s="410">
        <f t="shared" ref="K576:K577" ca="1" si="287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02"/>
      <c r="C577" s="602"/>
      <c r="D577" s="602"/>
      <c r="E577" s="612"/>
      <c r="F577" s="612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0</v>
      </c>
      <c r="K577" s="410">
        <f t="shared" ca="1" si="287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02"/>
      <c r="C578" s="602"/>
      <c r="D578" s="187" t="s">
        <v>244</v>
      </c>
      <c r="E578" s="612"/>
      <c r="F578" s="612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"),0)</f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02"/>
      <c r="C579" s="602"/>
      <c r="D579" s="602"/>
      <c r="E579" s="612"/>
      <c r="F579" s="612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"),0)</f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02"/>
      <c r="C580" s="602"/>
      <c r="D580" s="187" t="s">
        <v>245</v>
      </c>
      <c r="E580" s="612"/>
      <c r="F580" s="612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"),0)</f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02"/>
      <c r="C581" s="602"/>
      <c r="D581" s="602"/>
      <c r="E581" s="612"/>
      <c r="F581" s="612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"),0)</f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02"/>
      <c r="C582" s="602"/>
      <c r="D582" s="187" t="s">
        <v>246</v>
      </c>
      <c r="E582" s="612"/>
      <c r="F582" s="612"/>
      <c r="G582" s="175"/>
      <c r="H582" s="182" t="s">
        <v>46</v>
      </c>
      <c r="I582" s="162"/>
      <c r="J582" s="194">
        <f t="shared" ref="J582:J583" ca="1" si="288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02"/>
      <c r="C583" s="602"/>
      <c r="D583" s="602"/>
      <c r="E583" s="612"/>
      <c r="F583" s="612"/>
      <c r="G583" s="175"/>
      <c r="H583" s="182" t="s">
        <v>34</v>
      </c>
      <c r="I583" s="162"/>
      <c r="J583" s="194">
        <f t="shared" ca="1" si="288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02"/>
      <c r="C584" s="602"/>
      <c r="D584" s="602"/>
      <c r="E584" s="187" t="s">
        <v>247</v>
      </c>
      <c r="F584" s="612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"),0)</f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02"/>
      <c r="C585" s="602"/>
      <c r="D585" s="602"/>
      <c r="E585" s="612"/>
      <c r="F585" s="612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"),0)</f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02"/>
      <c r="C586" s="602"/>
      <c r="D586" s="602"/>
      <c r="E586" s="187" t="s">
        <v>248</v>
      </c>
      <c r="F586" s="612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"),0)</f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02"/>
      <c r="C587" s="602"/>
      <c r="D587" s="602"/>
      <c r="E587" s="602"/>
      <c r="F587" s="612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"),0)</f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02"/>
      <c r="C588" s="602"/>
      <c r="D588" s="187" t="s">
        <v>249</v>
      </c>
      <c r="E588" s="612"/>
      <c r="F588" s="612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"),0)</f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02"/>
      <c r="C589" s="602"/>
      <c r="D589" s="602"/>
      <c r="E589" s="602"/>
      <c r="F589" s="612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"),0)</f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02"/>
      <c r="C590" s="602"/>
      <c r="D590" s="187" t="s">
        <v>250</v>
      </c>
      <c r="E590" s="612"/>
      <c r="F590" s="612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69">
        <f t="shared" ref="I592:J592" ca="1" si="289">I593</f>
        <v>65754</v>
      </c>
      <c r="J592" s="669">
        <f t="shared" ca="1" si="289"/>
        <v>0</v>
      </c>
      <c r="K592" s="670">
        <f t="shared" ref="K592:K594" ca="1" si="290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02"/>
      <c r="C593" s="615" t="s">
        <v>252</v>
      </c>
      <c r="D593" s="602"/>
      <c r="E593" s="602"/>
      <c r="F593" s="612"/>
      <c r="G593" s="175"/>
      <c r="H593" s="192" t="s">
        <v>46</v>
      </c>
      <c r="I593" s="193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"),65754)</f>
        <v>65754</v>
      </c>
      <c r="J593" s="193">
        <f t="shared" ref="J593:J594" ca="1" si="291">J595+J603+J609</f>
        <v>0</v>
      </c>
      <c r="K593" s="410">
        <f t="shared" ca="1" si="290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02"/>
      <c r="C594" s="602"/>
      <c r="D594" s="602"/>
      <c r="E594" s="612"/>
      <c r="F594" s="612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"),5508)</f>
        <v>5508</v>
      </c>
      <c r="J594" s="193">
        <f t="shared" ca="1" si="291"/>
        <v>0</v>
      </c>
      <c r="K594" s="410">
        <f t="shared" ca="1" si="290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02"/>
      <c r="C595" s="611" t="s">
        <v>253</v>
      </c>
      <c r="D595" s="602"/>
      <c r="E595" s="602"/>
      <c r="F595" s="612"/>
      <c r="G595" s="175"/>
      <c r="H595" s="182" t="s">
        <v>46</v>
      </c>
      <c r="I595" s="162"/>
      <c r="J595" s="162">
        <f t="shared" ref="J595:J596" ca="1" si="292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02"/>
      <c r="C596" s="602"/>
      <c r="D596" s="602"/>
      <c r="E596" s="612"/>
      <c r="F596" s="612"/>
      <c r="G596" s="175"/>
      <c r="H596" s="182" t="s">
        <v>34</v>
      </c>
      <c r="I596" s="162"/>
      <c r="J596" s="162">
        <f t="shared" ca="1" si="292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02"/>
      <c r="C597" s="602"/>
      <c r="D597" s="262" t="s">
        <v>254</v>
      </c>
      <c r="E597" s="612"/>
      <c r="F597" s="612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"),0)</f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02"/>
      <c r="C598" s="602"/>
      <c r="D598" s="602"/>
      <c r="E598" s="612"/>
      <c r="F598" s="612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"),0)</f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02"/>
      <c r="C599" s="602"/>
      <c r="D599" s="262" t="s">
        <v>255</v>
      </c>
      <c r="E599" s="612"/>
      <c r="F599" s="612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"),0)</f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02"/>
      <c r="C600" s="602"/>
      <c r="D600" s="602"/>
      <c r="E600" s="612"/>
      <c r="F600" s="612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"),0)</f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02"/>
      <c r="C601" s="602"/>
      <c r="D601" s="262" t="s">
        <v>256</v>
      </c>
      <c r="E601" s="612"/>
      <c r="F601" s="612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"),0)</f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02"/>
      <c r="C602" s="602"/>
      <c r="D602" s="602"/>
      <c r="E602" s="612"/>
      <c r="F602" s="612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"),0)</f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02"/>
      <c r="C603" s="696" t="s">
        <v>257</v>
      </c>
      <c r="D603" s="602"/>
      <c r="E603" s="602"/>
      <c r="F603" s="612"/>
      <c r="G603" s="175"/>
      <c r="H603" s="182" t="s">
        <v>46</v>
      </c>
      <c r="I603" s="37"/>
      <c r="J603" s="37">
        <f t="shared" ref="J603:J604" ca="1" si="293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02"/>
      <c r="C604" s="602"/>
      <c r="D604" s="602"/>
      <c r="E604" s="612"/>
      <c r="F604" s="612"/>
      <c r="G604" s="175"/>
      <c r="H604" s="182" t="s">
        <v>34</v>
      </c>
      <c r="I604" s="37"/>
      <c r="J604" s="37">
        <f t="shared" ca="1" si="293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02"/>
      <c r="C605" s="602"/>
      <c r="D605" s="696" t="s">
        <v>258</v>
      </c>
      <c r="E605" s="612"/>
      <c r="F605" s="612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"),0)</f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02"/>
      <c r="C606" s="602"/>
      <c r="D606" s="602"/>
      <c r="E606" s="602"/>
      <c r="F606" s="612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"),0)</f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02"/>
      <c r="C607" s="602"/>
      <c r="D607" s="696" t="s">
        <v>259</v>
      </c>
      <c r="E607" s="602"/>
      <c r="F607" s="612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"),0)</f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02"/>
      <c r="C608" s="602"/>
      <c r="D608" s="602"/>
      <c r="E608" s="612"/>
      <c r="F608" s="612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"),0)</f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02"/>
      <c r="C609" s="611" t="s">
        <v>260</v>
      </c>
      <c r="D609" s="602"/>
      <c r="E609" s="602"/>
      <c r="F609" s="612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"),0)</f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02"/>
      <c r="C610" s="602"/>
      <c r="D610" s="602"/>
      <c r="E610" s="612"/>
      <c r="F610" s="612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"),0)</f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69">
        <f>J614+J616</f>
        <v>0</v>
      </c>
      <c r="K611" s="670">
        <f t="shared" ref="K611:K613" si="294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01"/>
      <c r="C612" s="702" t="s">
        <v>262</v>
      </c>
      <c r="D612" s="701"/>
      <c r="E612" s="701"/>
      <c r="F612" s="703"/>
      <c r="G612" s="704"/>
      <c r="H612" s="705" t="s">
        <v>46</v>
      </c>
      <c r="I612" s="706">
        <v>0</v>
      </c>
      <c r="J612" s="707">
        <f t="shared" ref="J612:J613" si="295">J614+J616</f>
        <v>0</v>
      </c>
      <c r="K612" s="708">
        <f t="shared" si="294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01"/>
      <c r="C613" s="710" t="s">
        <v>263</v>
      </c>
      <c r="D613" s="701"/>
      <c r="E613" s="701"/>
      <c r="F613" s="703"/>
      <c r="G613" s="704"/>
      <c r="H613" s="705" t="s">
        <v>34</v>
      </c>
      <c r="I613" s="706">
        <v>0</v>
      </c>
      <c r="J613" s="707">
        <f t="shared" si="295"/>
        <v>0</v>
      </c>
      <c r="K613" s="708">
        <f t="shared" si="294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8"/>
      <c r="C614" s="608"/>
      <c r="D614" s="711" t="s">
        <v>264</v>
      </c>
      <c r="E614" s="608"/>
      <c r="F614" s="594"/>
      <c r="G614" s="365"/>
      <c r="H614" s="369" t="s">
        <v>46</v>
      </c>
      <c r="I614" s="44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8"/>
      <c r="C615" s="608"/>
      <c r="D615" s="608"/>
      <c r="E615" s="608"/>
      <c r="F615" s="594"/>
      <c r="G615" s="365"/>
      <c r="H615" s="369" t="s">
        <v>34</v>
      </c>
      <c r="I615" s="44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8"/>
      <c r="C616" s="608"/>
      <c r="D616" s="712" t="s">
        <v>264</v>
      </c>
      <c r="E616" s="594"/>
      <c r="F616" s="594"/>
      <c r="G616" s="365"/>
      <c r="H616" s="369" t="s">
        <v>46</v>
      </c>
      <c r="I616" s="44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8"/>
      <c r="C617" s="608"/>
      <c r="D617" s="608"/>
      <c r="E617" s="594"/>
      <c r="F617" s="594"/>
      <c r="G617" s="365"/>
      <c r="H617" s="369" t="s">
        <v>34</v>
      </c>
      <c r="I617" s="44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8"/>
      <c r="C618" s="608"/>
      <c r="D618" s="712" t="s">
        <v>265</v>
      </c>
      <c r="E618" s="594"/>
      <c r="F618" s="594"/>
      <c r="G618" s="365"/>
      <c r="H618" s="369" t="s">
        <v>46</v>
      </c>
      <c r="I618" s="44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8"/>
      <c r="C619" s="608"/>
      <c r="D619" s="608"/>
      <c r="E619" s="594"/>
      <c r="F619" s="594"/>
      <c r="G619" s="365"/>
      <c r="H619" s="369" t="s">
        <v>34</v>
      </c>
      <c r="I619" s="44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14"/>
      <c r="C620" s="715" t="s">
        <v>266</v>
      </c>
      <c r="D620" s="714"/>
      <c r="E620" s="714"/>
      <c r="F620" s="716"/>
      <c r="G620" s="717"/>
      <c r="H620" s="718" t="s">
        <v>46</v>
      </c>
      <c r="I620" s="719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"),0)</f>
        <v>0</v>
      </c>
      <c r="J620" s="719">
        <f t="shared" ref="J620:J621" ca="1" si="296">J622+J624+J626</f>
        <v>0</v>
      </c>
      <c r="K620" s="720">
        <f t="shared" ref="K620:K621" ca="1" si="297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14"/>
      <c r="C621" s="722" t="s">
        <v>267</v>
      </c>
      <c r="D621" s="714"/>
      <c r="E621" s="714"/>
      <c r="F621" s="716"/>
      <c r="G621" s="717"/>
      <c r="H621" s="718" t="s">
        <v>34</v>
      </c>
      <c r="I621" s="719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"),0)</f>
        <v>0</v>
      </c>
      <c r="J621" s="719">
        <f t="shared" ca="1" si="296"/>
        <v>0</v>
      </c>
      <c r="K621" s="720">
        <f t="shared" ca="1" si="297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02"/>
      <c r="C622" s="602"/>
      <c r="D622" s="262" t="s">
        <v>268</v>
      </c>
      <c r="E622" s="612"/>
      <c r="F622" s="612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"),0)</f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02"/>
      <c r="C623" s="602"/>
      <c r="D623" s="602"/>
      <c r="E623" s="612"/>
      <c r="F623" s="612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"),0)</f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02"/>
      <c r="C624" s="602"/>
      <c r="D624" s="262" t="s">
        <v>264</v>
      </c>
      <c r="E624" s="612"/>
      <c r="F624" s="612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"),0)</f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02"/>
      <c r="C625" s="602"/>
      <c r="D625" s="602"/>
      <c r="E625" s="612"/>
      <c r="F625" s="612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"),0)</f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02"/>
      <c r="C626" s="602"/>
      <c r="D626" s="262" t="s">
        <v>269</v>
      </c>
      <c r="E626" s="612"/>
      <c r="F626" s="612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"),0)</f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"),0)</f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98">I651</f>
        <v>8730</v>
      </c>
      <c r="J628" s="732">
        <f t="shared" ca="1" si="298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569"/>
      <c r="C629" s="569" t="s">
        <v>16</v>
      </c>
      <c r="D629" s="838" t="s">
        <v>17</v>
      </c>
      <c r="E629" s="832"/>
      <c r="F629" s="832"/>
      <c r="G629" s="189"/>
      <c r="H629" s="591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si="299"/>
        <v>0</v>
      </c>
      <c r="N629" s="195">
        <f t="shared" ca="1" si="299"/>
        <v>634758.02</v>
      </c>
      <c r="O629" s="195">
        <f t="shared" ref="O629:O634" ca="1" si="300">IF(L629&gt;0,N629*100/L629,0)</f>
        <v>5.3763687545234831</v>
      </c>
      <c r="P629" s="195">
        <f t="shared" ref="P629:P634" si="301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593"/>
      <c r="C630" s="593"/>
      <c r="D630" s="594"/>
      <c r="E630" s="595" t="s">
        <v>184</v>
      </c>
      <c r="F630" s="593"/>
      <c r="G630" s="596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598"/>
      <c r="C631" s="593"/>
      <c r="D631" s="594"/>
      <c r="E631" s="595" t="s">
        <v>185</v>
      </c>
      <c r="F631" s="593"/>
      <c r="G631" s="596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si="303"/>
        <v>0</v>
      </c>
      <c r="N631" s="45">
        <f t="shared" ca="1" si="303"/>
        <v>634758.02</v>
      </c>
      <c r="O631" s="45">
        <f t="shared" ca="1" si="300"/>
        <v>5.3763687545234831</v>
      </c>
      <c r="P631" s="45">
        <f t="shared" si="301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569"/>
      <c r="D632" s="599" t="s">
        <v>20</v>
      </c>
      <c r="E632" s="569"/>
      <c r="F632" s="569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si="304"/>
        <v>0</v>
      </c>
      <c r="N632" s="38">
        <f t="shared" ca="1" si="304"/>
        <v>634758.02</v>
      </c>
      <c r="O632" s="38">
        <f t="shared" ca="1" si="300"/>
        <v>5.3763687545234831</v>
      </c>
      <c r="P632" s="38">
        <f t="shared" si="301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598"/>
      <c r="C633" s="593"/>
      <c r="D633" s="594"/>
      <c r="E633" s="595" t="s">
        <v>184</v>
      </c>
      <c r="F633" s="593"/>
      <c r="G633" s="596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598"/>
      <c r="C634" s="593"/>
      <c r="D634" s="594"/>
      <c r="E634" s="595" t="s">
        <v>185</v>
      </c>
      <c r="F634" s="593"/>
      <c r="G634" s="596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v>0</v>
      </c>
      <c r="N634" s="45">
        <f ca="1">N635+N636+N637+N638</f>
        <v>634758.02</v>
      </c>
      <c r="O634" s="45">
        <f t="shared" ca="1" si="300"/>
        <v>5.3763687545234831</v>
      </c>
      <c r="P634" s="45">
        <f t="shared" si="301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569"/>
      <c r="D635" s="569"/>
      <c r="E635" s="569"/>
      <c r="F635" s="570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2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569"/>
      <c r="D636" s="569"/>
      <c r="E636" s="569"/>
      <c r="F636" s="570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2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"),0)</f>
        <v>0</v>
      </c>
      <c r="O636" s="38"/>
      <c r="P636" s="38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569"/>
      <c r="D637" s="569"/>
      <c r="E637" s="569"/>
      <c r="F637" s="570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2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"),103566.67)</f>
        <v>103566.67</v>
      </c>
      <c r="O637" s="38"/>
      <c r="P637" s="38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569"/>
      <c r="D638" s="569"/>
      <c r="E638" s="569"/>
      <c r="F638" s="570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2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"),531191.35)</f>
        <v>531191.35</v>
      </c>
      <c r="O638" s="38"/>
      <c r="P638" s="38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569"/>
      <c r="D639" s="599" t="s">
        <v>21</v>
      </c>
      <c r="E639" s="569"/>
      <c r="F639" s="569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598"/>
      <c r="C640" s="593"/>
      <c r="D640" s="593"/>
      <c r="E640" s="595" t="s">
        <v>18</v>
      </c>
      <c r="F640" s="593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598"/>
      <c r="C641" s="593"/>
      <c r="D641" s="593"/>
      <c r="E641" s="595" t="s">
        <v>19</v>
      </c>
      <c r="F641" s="593"/>
      <c r="G641" s="596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02"/>
      <c r="C642" s="569" t="s">
        <v>16</v>
      </c>
      <c r="D642" s="672" t="s">
        <v>38</v>
      </c>
      <c r="E642" s="605"/>
      <c r="F642" s="605"/>
      <c r="G642" s="606"/>
      <c r="H642" s="175"/>
      <c r="I642" s="162"/>
      <c r="J642" s="162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569"/>
      <c r="D643" s="612"/>
      <c r="E643" s="736" t="s">
        <v>271</v>
      </c>
      <c r="F643" s="612"/>
      <c r="G643" s="175"/>
      <c r="H643" s="447" t="s">
        <v>272</v>
      </c>
      <c r="I643" s="269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"),2)</f>
        <v>2</v>
      </c>
      <c r="K643" s="163">
        <f t="shared" ref="K643:K652" ca="1" si="308">IF(I643&gt;0,J643*100/I643,0)</f>
        <v>28.571428571428573</v>
      </c>
      <c r="L643" s="163"/>
      <c r="M643" s="163"/>
      <c r="N643" s="38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569"/>
      <c r="D644" s="612"/>
      <c r="E644" s="736" t="s">
        <v>273</v>
      </c>
      <c r="F644" s="612"/>
      <c r="G644" s="175"/>
      <c r="H644" s="447" t="s">
        <v>274</v>
      </c>
      <c r="I644" s="269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569"/>
      <c r="D645" s="612"/>
      <c r="E645" s="737" t="s">
        <v>275</v>
      </c>
      <c r="F645" s="612"/>
      <c r="G645" s="175"/>
      <c r="H645" s="182" t="s">
        <v>34</v>
      </c>
      <c r="I645" s="269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"),891)</f>
        <v>891</v>
      </c>
      <c r="K645" s="163">
        <f t="shared" si="308"/>
        <v>0</v>
      </c>
      <c r="L645" s="163"/>
      <c r="M645" s="163"/>
      <c r="N645" s="38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569"/>
      <c r="D646" s="612"/>
      <c r="E646" s="612"/>
      <c r="F646" s="612"/>
      <c r="G646" s="175"/>
      <c r="H646" s="182" t="s">
        <v>46</v>
      </c>
      <c r="I646" s="269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"),532.939999999999)</f>
        <v>532.93999999999903</v>
      </c>
      <c r="K646" s="38">
        <f t="shared" si="308"/>
        <v>0</v>
      </c>
      <c r="L646" s="163"/>
      <c r="M646" s="163"/>
      <c r="N646" s="38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569"/>
      <c r="D647" s="612"/>
      <c r="E647" s="262" t="s">
        <v>162</v>
      </c>
      <c r="F647" s="612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"),671)</f>
        <v>671</v>
      </c>
      <c r="K647" s="163">
        <f t="shared" ca="1" si="308"/>
        <v>7.6861397479954183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569"/>
      <c r="D648" s="612"/>
      <c r="E648" s="612"/>
      <c r="F648" s="612"/>
      <c r="G648" s="175"/>
      <c r="H648" s="182" t="s">
        <v>46</v>
      </c>
      <c r="I648" s="269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"),397.76)</f>
        <v>397.76</v>
      </c>
      <c r="K648" s="38">
        <f t="shared" si="308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569"/>
      <c r="D649" s="612"/>
      <c r="E649" s="262" t="s">
        <v>276</v>
      </c>
      <c r="F649" s="612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"),85)</f>
        <v>85</v>
      </c>
      <c r="K649" s="163">
        <f t="shared" ca="1" si="308"/>
        <v>0.97365406643757157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569"/>
      <c r="D650" s="612"/>
      <c r="E650" s="612"/>
      <c r="F650" s="612"/>
      <c r="G650" s="175"/>
      <c r="H650" s="182" t="s">
        <v>46</v>
      </c>
      <c r="I650" s="269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"),55.1)</f>
        <v>55.1</v>
      </c>
      <c r="K650" s="38">
        <f t="shared" si="308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569"/>
      <c r="D651" s="612"/>
      <c r="E651" s="262" t="s">
        <v>277</v>
      </c>
      <c r="F651" s="612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"),0)</f>
        <v>0</v>
      </c>
      <c r="K651" s="163">
        <f t="shared" ca="1" si="308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382">
        <v>0</v>
      </c>
      <c r="J652" s="499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"),0)</f>
        <v>0</v>
      </c>
      <c r="K652" s="500">
        <f t="shared" si="308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69">
        <f t="shared" ref="I654:J654" ca="1" si="309">I669</f>
        <v>1370</v>
      </c>
      <c r="J654" s="669">
        <f t="shared" ca="1" si="309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569"/>
      <c r="C655" s="569" t="s">
        <v>16</v>
      </c>
      <c r="D655" s="838" t="s">
        <v>17</v>
      </c>
      <c r="E655" s="832"/>
      <c r="F655" s="832"/>
      <c r="G655" s="189"/>
      <c r="H655" s="591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si="310"/>
        <v>0</v>
      </c>
      <c r="N655" s="195">
        <f t="shared" ca="1" si="310"/>
        <v>8800</v>
      </c>
      <c r="O655" s="195">
        <f t="shared" ref="O655:O660" ca="1" si="311">IF(L655&gt;0,N655*100/L655,0)</f>
        <v>4.5314109165808443</v>
      </c>
      <c r="P655" s="195">
        <f t="shared" ref="P655:P660" si="312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593"/>
      <c r="C656" s="593"/>
      <c r="D656" s="594"/>
      <c r="E656" s="595" t="s">
        <v>184</v>
      </c>
      <c r="F656" s="593"/>
      <c r="G656" s="596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598"/>
      <c r="C657" s="593"/>
      <c r="D657" s="594"/>
      <c r="E657" s="595" t="s">
        <v>185</v>
      </c>
      <c r="F657" s="593"/>
      <c r="G657" s="596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si="314"/>
        <v>0</v>
      </c>
      <c r="N657" s="45">
        <f t="shared" ca="1" si="314"/>
        <v>8800</v>
      </c>
      <c r="O657" s="45">
        <f t="shared" ca="1" si="311"/>
        <v>4.5314109165808443</v>
      </c>
      <c r="P657" s="45">
        <f t="shared" si="312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569"/>
      <c r="D658" s="599" t="s">
        <v>20</v>
      </c>
      <c r="E658" s="569"/>
      <c r="F658" s="569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si="315"/>
        <v>0</v>
      </c>
      <c r="N658" s="38">
        <f t="shared" ca="1" si="315"/>
        <v>8800</v>
      </c>
      <c r="O658" s="38">
        <f t="shared" ca="1" si="311"/>
        <v>4.5314109165808443</v>
      </c>
      <c r="P658" s="38">
        <f t="shared" si="312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598"/>
      <c r="C659" s="593"/>
      <c r="D659" s="594"/>
      <c r="E659" s="595" t="s">
        <v>184</v>
      </c>
      <c r="F659" s="593"/>
      <c r="G659" s="596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598"/>
      <c r="C660" s="593"/>
      <c r="D660" s="594"/>
      <c r="E660" s="595" t="s">
        <v>185</v>
      </c>
      <c r="F660" s="593"/>
      <c r="G660" s="596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v>0</v>
      </c>
      <c r="N660" s="45">
        <f ca="1">N661+N662+N663+N664</f>
        <v>8800</v>
      </c>
      <c r="O660" s="45">
        <f t="shared" ca="1" si="311"/>
        <v>4.5314109165808443</v>
      </c>
      <c r="P660" s="45">
        <f t="shared" si="312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569"/>
      <c r="D661" s="569"/>
      <c r="E661" s="569"/>
      <c r="F661" s="570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2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569"/>
      <c r="D662" s="569"/>
      <c r="E662" s="569"/>
      <c r="F662" s="570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2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569"/>
      <c r="E663" s="569"/>
      <c r="F663" s="570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2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"),0)</f>
        <v>0</v>
      </c>
      <c r="O663" s="38"/>
      <c r="P663" s="38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569"/>
      <c r="F664" s="570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2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"),8800)</f>
        <v>8800</v>
      </c>
      <c r="O664" s="38"/>
      <c r="P664" s="38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569"/>
      <c r="F665" s="569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598"/>
      <c r="C666" s="598"/>
      <c r="D666" s="598"/>
      <c r="E666" s="595" t="s">
        <v>18</v>
      </c>
      <c r="F666" s="593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598"/>
      <c r="C667" s="598"/>
      <c r="D667" s="598"/>
      <c r="E667" s="595" t="s">
        <v>19</v>
      </c>
      <c r="F667" s="593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02"/>
      <c r="C668" s="568" t="s">
        <v>16</v>
      </c>
      <c r="D668" s="603" t="s">
        <v>38</v>
      </c>
      <c r="E668" s="605"/>
      <c r="F668" s="605"/>
      <c r="G668" s="606"/>
      <c r="H668" s="175"/>
      <c r="I668" s="162"/>
      <c r="J668" s="162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02"/>
      <c r="C669" s="602"/>
      <c r="D669" s="611" t="s">
        <v>280</v>
      </c>
      <c r="E669" s="612"/>
      <c r="F669" s="612"/>
      <c r="G669" s="175"/>
      <c r="H669" s="743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02"/>
      <c r="C670" s="602"/>
      <c r="D670" s="602"/>
      <c r="E670" s="187" t="s">
        <v>281</v>
      </c>
      <c r="F670" s="612"/>
      <c r="G670" s="175"/>
      <c r="H670" s="447" t="s">
        <v>69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"),27)</f>
        <v>27</v>
      </c>
      <c r="K670" s="38">
        <f ca="1">IF(I670&gt;0,(J670*100)/I670,0)</f>
        <v>38.571428571428569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02"/>
      <c r="C671" s="602"/>
      <c r="D671" s="602"/>
      <c r="E671" s="187" t="s">
        <v>282</v>
      </c>
      <c r="F671" s="612"/>
      <c r="G671" s="175"/>
      <c r="H671" s="447" t="s">
        <v>69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"),21)</f>
        <v>21</v>
      </c>
      <c r="K671" s="38">
        <f ca="1">IF(I$671&gt;0,J671*100/I$671,0)</f>
        <v>30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02"/>
      <c r="C672" s="602"/>
      <c r="D672" s="602"/>
      <c r="E672" s="187" t="s">
        <v>283</v>
      </c>
      <c r="F672" s="612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"),0)</f>
        <v>0</v>
      </c>
      <c r="K672" s="38">
        <f t="shared" ref="K672:K675" ca="1" si="319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02"/>
      <c r="C673" s="602"/>
      <c r="D673" s="602"/>
      <c r="E673" s="187" t="s">
        <v>284</v>
      </c>
      <c r="F673" s="612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"),0)</f>
        <v>0</v>
      </c>
      <c r="K673" s="38">
        <f t="shared" ca="1" si="319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02"/>
      <c r="C674" s="602"/>
      <c r="D674" s="602"/>
      <c r="E674" s="187" t="s">
        <v>285</v>
      </c>
      <c r="F674" s="612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02"/>
      <c r="C675" s="602"/>
      <c r="D675" s="602"/>
      <c r="E675" s="187" t="s">
        <v>286</v>
      </c>
      <c r="F675" s="612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02"/>
      <c r="C676" s="602"/>
      <c r="D676" s="602"/>
      <c r="E676" s="612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02"/>
      <c r="C677" s="602"/>
      <c r="D677" s="602"/>
      <c r="E677" s="612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"),0)</f>
        <v>0</v>
      </c>
      <c r="K677" s="38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02"/>
      <c r="C678" s="602"/>
      <c r="D678" s="611" t="s">
        <v>289</v>
      </c>
      <c r="E678" s="612"/>
      <c r="F678" s="612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02"/>
      <c r="C679" s="602"/>
      <c r="D679" s="602"/>
      <c r="E679" s="187" t="s">
        <v>290</v>
      </c>
      <c r="F679" s="612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02"/>
      <c r="C680" s="602"/>
      <c r="D680" s="602"/>
      <c r="E680" s="612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02"/>
      <c r="C681" s="602"/>
      <c r="D681" s="602"/>
      <c r="E681" s="612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"),0)</f>
        <v>0</v>
      </c>
      <c r="K681" s="38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02"/>
      <c r="C682" s="602"/>
      <c r="D682" s="602"/>
      <c r="E682" s="187" t="s">
        <v>291</v>
      </c>
      <c r="F682" s="612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02"/>
      <c r="C683" s="602"/>
      <c r="D683" s="602"/>
      <c r="E683" s="612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569"/>
      <c r="C685" s="569" t="s">
        <v>16</v>
      </c>
      <c r="D685" s="838" t="s">
        <v>17</v>
      </c>
      <c r="E685" s="832"/>
      <c r="F685" s="832"/>
      <c r="G685" s="189"/>
      <c r="H685" s="591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si="320"/>
        <v>0</v>
      </c>
      <c r="N685" s="195">
        <f t="shared" ca="1" si="320"/>
        <v>5320</v>
      </c>
      <c r="O685" s="195">
        <f t="shared" ref="O685:O688" ca="1" si="321">IF(L685&gt;0,N685*100/L685,0)</f>
        <v>1.53739452086464</v>
      </c>
      <c r="P685" s="195">
        <f t="shared" ref="P685:P688" si="322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593"/>
      <c r="C686" s="593"/>
      <c r="D686" s="594"/>
      <c r="E686" s="595" t="s">
        <v>184</v>
      </c>
      <c r="F686" s="593"/>
      <c r="G686" s="596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598"/>
      <c r="C687" s="593"/>
      <c r="D687" s="594"/>
      <c r="E687" s="595" t="s">
        <v>185</v>
      </c>
      <c r="F687" s="593"/>
      <c r="G687" s="596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si="324"/>
        <v>0</v>
      </c>
      <c r="N687" s="45">
        <f t="shared" ca="1" si="324"/>
        <v>5320</v>
      </c>
      <c r="O687" s="45">
        <f t="shared" ca="1" si="321"/>
        <v>1.53739452086464</v>
      </c>
      <c r="P687" s="45">
        <f t="shared" si="322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569"/>
      <c r="D688" s="599" t="s">
        <v>20</v>
      </c>
      <c r="E688" s="569"/>
      <c r="F688" s="569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si="325"/>
        <v>0</v>
      </c>
      <c r="N688" s="38">
        <f t="shared" ca="1" si="325"/>
        <v>5320</v>
      </c>
      <c r="O688" s="38">
        <f t="shared" ca="1" si="321"/>
        <v>1.53739452086464</v>
      </c>
      <c r="P688" s="38">
        <f t="shared" si="322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598"/>
      <c r="C689" s="593"/>
      <c r="D689" s="594"/>
      <c r="E689" s="595" t="s">
        <v>184</v>
      </c>
      <c r="F689" s="593"/>
      <c r="G689" s="596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598"/>
      <c r="C690" s="593"/>
      <c r="D690" s="594"/>
      <c r="E690" s="595" t="s">
        <v>185</v>
      </c>
      <c r="F690" s="593"/>
      <c r="G690" s="596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v>0</v>
      </c>
      <c r="N690" s="45">
        <f ca="1">N691+N692+N693+N694</f>
        <v>5320</v>
      </c>
      <c r="O690" s="45">
        <f ca="1">IF(L690&gt;0,N690*100/L690,0)</f>
        <v>1.53739452086464</v>
      </c>
      <c r="P690" s="45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569"/>
      <c r="D691" s="569"/>
      <c r="E691" s="569"/>
      <c r="F691" s="570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2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"),0)</f>
        <v>0</v>
      </c>
      <c r="O691" s="38"/>
      <c r="P691" s="38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569"/>
      <c r="D692" s="569"/>
      <c r="E692" s="569"/>
      <c r="F692" s="570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2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569"/>
      <c r="D693" s="569"/>
      <c r="E693" s="569"/>
      <c r="F693" s="570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2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569"/>
      <c r="D694" s="569"/>
      <c r="E694" s="569"/>
      <c r="F694" s="570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2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"),5320)</f>
        <v>5320</v>
      </c>
      <c r="O694" s="38"/>
      <c r="P694" s="38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569"/>
      <c r="D695" s="749" t="s">
        <v>21</v>
      </c>
      <c r="E695" s="569"/>
      <c r="F695" s="569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598"/>
      <c r="C696" s="593"/>
      <c r="D696" s="593"/>
      <c r="E696" s="750" t="s">
        <v>18</v>
      </c>
      <c r="F696" s="593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598"/>
      <c r="C697" s="593"/>
      <c r="D697" s="593"/>
      <c r="E697" s="750" t="s">
        <v>19</v>
      </c>
      <c r="F697" s="593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02"/>
      <c r="C698" s="569" t="s">
        <v>16</v>
      </c>
      <c r="D698" s="751" t="s">
        <v>38</v>
      </c>
      <c r="E698" s="752"/>
      <c r="F698" s="605"/>
      <c r="G698" s="606"/>
      <c r="H698" s="753"/>
      <c r="I698" s="162"/>
      <c r="J698" s="162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569"/>
      <c r="C699" s="569"/>
      <c r="D699" s="570" t="s">
        <v>294</v>
      </c>
      <c r="E699" s="754"/>
      <c r="F699" s="569"/>
      <c r="G699" s="189"/>
      <c r="H699" s="755" t="s">
        <v>46</v>
      </c>
      <c r="I699" s="756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"),0)</f>
        <v>0</v>
      </c>
      <c r="K699" s="38">
        <f t="shared" ref="K699:K701" ca="1" si="329">IF(I699&gt;0,J699*100/I699,0)</f>
        <v>0</v>
      </c>
      <c r="L699" s="38"/>
      <c r="M699" s="189"/>
      <c r="N699" s="757"/>
      <c r="O699" s="38"/>
      <c r="P699" s="38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569"/>
      <c r="C700" s="569"/>
      <c r="D700" s="570" t="s">
        <v>295</v>
      </c>
      <c r="E700" s="569"/>
      <c r="F700" s="569"/>
      <c r="G700" s="189"/>
      <c r="H700" s="755" t="s">
        <v>35</v>
      </c>
      <c r="I700" s="756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"),17)</f>
        <v>17</v>
      </c>
      <c r="K700" s="38">
        <f t="shared" ca="1" si="329"/>
        <v>8.0568720379146921</v>
      </c>
      <c r="L700" s="38"/>
      <c r="M700" s="189"/>
      <c r="N700" s="757"/>
      <c r="O700" s="38"/>
      <c r="P700" s="38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569"/>
      <c r="C701" s="569"/>
      <c r="D701" s="570" t="s">
        <v>296</v>
      </c>
      <c r="E701" s="569"/>
      <c r="F701" s="569"/>
      <c r="G701" s="189"/>
      <c r="H701" s="758" t="s">
        <v>46</v>
      </c>
      <c r="I701" s="759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0</v>
      </c>
      <c r="K701" s="195">
        <f t="shared" ca="1" si="329"/>
        <v>0</v>
      </c>
      <c r="L701" s="38"/>
      <c r="M701" s="189"/>
      <c r="N701" s="757"/>
      <c r="O701" s="38"/>
      <c r="P701" s="38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569"/>
      <c r="C702" s="569"/>
      <c r="D702" s="569"/>
      <c r="E702" s="570" t="s">
        <v>297</v>
      </c>
      <c r="F702" s="569"/>
      <c r="G702" s="189"/>
      <c r="H702" s="182" t="s">
        <v>35</v>
      </c>
      <c r="I702" s="756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"),0)</f>
        <v>0</v>
      </c>
      <c r="K702" s="38"/>
      <c r="L702" s="38"/>
      <c r="M702" s="189"/>
      <c r="N702" s="757"/>
      <c r="O702" s="38"/>
      <c r="P702" s="38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569"/>
      <c r="C703" s="569"/>
      <c r="D703" s="569"/>
      <c r="E703" s="569"/>
      <c r="F703" s="569"/>
      <c r="G703" s="189"/>
      <c r="H703" s="182" t="s">
        <v>34</v>
      </c>
      <c r="I703" s="756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"),0)</f>
        <v>0</v>
      </c>
      <c r="K703" s="38"/>
      <c r="L703" s="38"/>
      <c r="M703" s="189"/>
      <c r="N703" s="757"/>
      <c r="O703" s="38"/>
      <c r="P703" s="38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569"/>
      <c r="C704" s="569"/>
      <c r="D704" s="569"/>
      <c r="E704" s="569"/>
      <c r="F704" s="569"/>
      <c r="G704" s="189"/>
      <c r="H704" s="182" t="s">
        <v>46</v>
      </c>
      <c r="I704" s="756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"),0)</f>
        <v>0</v>
      </c>
      <c r="K704" s="38"/>
      <c r="L704" s="38"/>
      <c r="M704" s="189"/>
      <c r="N704" s="757"/>
      <c r="O704" s="38"/>
      <c r="P704" s="38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569"/>
      <c r="C705" s="569"/>
      <c r="D705" s="569"/>
      <c r="E705" s="570" t="s">
        <v>298</v>
      </c>
      <c r="F705" s="569"/>
      <c r="G705" s="189"/>
      <c r="H705" s="182" t="s">
        <v>35</v>
      </c>
      <c r="I705" s="756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"),0)</f>
        <v>0</v>
      </c>
      <c r="K705" s="38"/>
      <c r="L705" s="38"/>
      <c r="M705" s="189"/>
      <c r="N705" s="757"/>
      <c r="O705" s="38"/>
      <c r="P705" s="38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569"/>
      <c r="C706" s="569"/>
      <c r="D706" s="569"/>
      <c r="E706" s="569"/>
      <c r="F706" s="569"/>
      <c r="G706" s="189"/>
      <c r="H706" s="182" t="s">
        <v>34</v>
      </c>
      <c r="I706" s="756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"),0)</f>
        <v>0</v>
      </c>
      <c r="K706" s="38"/>
      <c r="L706" s="38"/>
      <c r="M706" s="189"/>
      <c r="N706" s="757"/>
      <c r="O706" s="38"/>
      <c r="P706" s="38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569"/>
      <c r="C707" s="569"/>
      <c r="D707" s="569"/>
      <c r="E707" s="569"/>
      <c r="F707" s="569"/>
      <c r="G707" s="189"/>
      <c r="H707" s="182" t="s">
        <v>46</v>
      </c>
      <c r="I707" s="756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"),0)</f>
        <v>0</v>
      </c>
      <c r="K707" s="38"/>
      <c r="L707" s="38"/>
      <c r="M707" s="189"/>
      <c r="N707" s="757"/>
      <c r="O707" s="38"/>
      <c r="P707" s="38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569"/>
      <c r="C708" s="569"/>
      <c r="D708" s="760" t="s">
        <v>299</v>
      </c>
      <c r="E708" s="569"/>
      <c r="F708" s="569"/>
      <c r="G708" s="189"/>
      <c r="H708" s="192" t="s">
        <v>46</v>
      </c>
      <c r="I708" s="759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57"/>
      <c r="O708" s="38"/>
      <c r="P708" s="38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569"/>
      <c r="C709" s="569"/>
      <c r="D709" s="569"/>
      <c r="E709" s="570" t="s">
        <v>300</v>
      </c>
      <c r="F709" s="569"/>
      <c r="G709" s="189"/>
      <c r="H709" s="182" t="s">
        <v>34</v>
      </c>
      <c r="I709" s="756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"),0)</f>
        <v>0</v>
      </c>
      <c r="K709" s="38"/>
      <c r="L709" s="757"/>
      <c r="M709" s="189"/>
      <c r="N709" s="757"/>
      <c r="O709" s="38"/>
      <c r="P709" s="38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569"/>
      <c r="C710" s="569"/>
      <c r="D710" s="569"/>
      <c r="E710" s="569"/>
      <c r="F710" s="569"/>
      <c r="G710" s="189"/>
      <c r="H710" s="182" t="s">
        <v>46</v>
      </c>
      <c r="I710" s="756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"),0)</f>
        <v>0</v>
      </c>
      <c r="K710" s="38"/>
      <c r="L710" s="757"/>
      <c r="M710" s="189"/>
      <c r="N710" s="757"/>
      <c r="O710" s="38"/>
      <c r="P710" s="38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569"/>
      <c r="C711" s="569"/>
      <c r="D711" s="569"/>
      <c r="E711" s="570" t="s">
        <v>301</v>
      </c>
      <c r="F711" s="569"/>
      <c r="G711" s="189"/>
      <c r="H711" s="175"/>
      <c r="I711" s="756"/>
      <c r="J711" s="37"/>
      <c r="K711" s="38"/>
      <c r="L711" s="757"/>
      <c r="M711" s="189"/>
      <c r="N711" s="757"/>
      <c r="O711" s="38"/>
      <c r="P711" s="38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569"/>
      <c r="C712" s="569"/>
      <c r="D712" s="569"/>
      <c r="E712" s="569"/>
      <c r="F712" s="570" t="s">
        <v>302</v>
      </c>
      <c r="G712" s="189"/>
      <c r="H712" s="182" t="s">
        <v>35</v>
      </c>
      <c r="I712" s="756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"),0)</f>
        <v>0</v>
      </c>
      <c r="K712" s="38"/>
      <c r="L712" s="757"/>
      <c r="M712" s="189"/>
      <c r="N712" s="757"/>
      <c r="O712" s="38"/>
      <c r="P712" s="38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569"/>
      <c r="C713" s="569"/>
      <c r="D713" s="569"/>
      <c r="E713" s="569"/>
      <c r="F713" s="569"/>
      <c r="G713" s="189"/>
      <c r="H713" s="182" t="s">
        <v>34</v>
      </c>
      <c r="I713" s="756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"),0)</f>
        <v>0</v>
      </c>
      <c r="K713" s="38"/>
      <c r="L713" s="757"/>
      <c r="M713" s="189"/>
      <c r="N713" s="757"/>
      <c r="O713" s="38"/>
      <c r="P713" s="38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569"/>
      <c r="C714" s="569"/>
      <c r="D714" s="569"/>
      <c r="E714" s="569"/>
      <c r="F714" s="569"/>
      <c r="G714" s="189"/>
      <c r="H714" s="182" t="s">
        <v>46</v>
      </c>
      <c r="I714" s="756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"),0)</f>
        <v>0</v>
      </c>
      <c r="K714" s="38"/>
      <c r="L714" s="757"/>
      <c r="M714" s="189"/>
      <c r="N714" s="757"/>
      <c r="O714" s="38"/>
      <c r="P714" s="38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569"/>
      <c r="C715" s="569"/>
      <c r="D715" s="569"/>
      <c r="E715" s="569"/>
      <c r="F715" s="570" t="s">
        <v>303</v>
      </c>
      <c r="G715" s="189"/>
      <c r="H715" s="182" t="s">
        <v>35</v>
      </c>
      <c r="I715" s="756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57"/>
      <c r="M715" s="189"/>
      <c r="N715" s="757"/>
      <c r="O715" s="38"/>
      <c r="P715" s="38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569"/>
      <c r="C716" s="569"/>
      <c r="D716" s="569"/>
      <c r="E716" s="569"/>
      <c r="F716" s="569"/>
      <c r="G716" s="189"/>
      <c r="H716" s="182" t="s">
        <v>34</v>
      </c>
      <c r="I716" s="756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57"/>
      <c r="M716" s="189"/>
      <c r="N716" s="757"/>
      <c r="O716" s="38"/>
      <c r="P716" s="38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569"/>
      <c r="C717" s="569"/>
      <c r="D717" s="569"/>
      <c r="E717" s="569"/>
      <c r="F717" s="569"/>
      <c r="G717" s="189"/>
      <c r="H717" s="182" t="s">
        <v>46</v>
      </c>
      <c r="I717" s="756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57"/>
      <c r="M717" s="189"/>
      <c r="N717" s="757"/>
      <c r="O717" s="38"/>
      <c r="P717" s="38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569"/>
      <c r="C718" s="569"/>
      <c r="D718" s="570" t="s">
        <v>304</v>
      </c>
      <c r="E718" s="569"/>
      <c r="F718" s="569"/>
      <c r="G718" s="189"/>
      <c r="H718" s="182" t="s">
        <v>35</v>
      </c>
      <c r="I718" s="756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"),0)</f>
        <v>0</v>
      </c>
      <c r="K718" s="38"/>
      <c r="L718" s="38"/>
      <c r="M718" s="189"/>
      <c r="N718" s="757"/>
      <c r="O718" s="38"/>
      <c r="P718" s="38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569"/>
      <c r="C719" s="569"/>
      <c r="D719" s="569"/>
      <c r="E719" s="569"/>
      <c r="F719" s="569"/>
      <c r="G719" s="189"/>
      <c r="H719" s="182" t="s">
        <v>34</v>
      </c>
      <c r="I719" s="756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"),0)</f>
        <v>0</v>
      </c>
      <c r="K719" s="38"/>
      <c r="L719" s="757"/>
      <c r="M719" s="189"/>
      <c r="N719" s="757"/>
      <c r="O719" s="38"/>
      <c r="P719" s="38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569"/>
      <c r="C720" s="569"/>
      <c r="D720" s="569"/>
      <c r="E720" s="569"/>
      <c r="F720" s="569"/>
      <c r="G720" s="189"/>
      <c r="H720" s="182" t="s">
        <v>46</v>
      </c>
      <c r="I720" s="756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"),0)</f>
        <v>0</v>
      </c>
      <c r="K720" s="38">
        <f t="shared" ref="K720:K723" ca="1" si="330">IF(I720&gt;0,J720*100/I720,0)</f>
        <v>0</v>
      </c>
      <c r="L720" s="757"/>
      <c r="M720" s="189"/>
      <c r="N720" s="757"/>
      <c r="O720" s="38"/>
      <c r="P720" s="38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569"/>
      <c r="C721" s="569"/>
      <c r="D721" s="570" t="s">
        <v>305</v>
      </c>
      <c r="E721" s="569"/>
      <c r="F721" s="569"/>
      <c r="G721" s="189"/>
      <c r="H721" s="743" t="s">
        <v>35</v>
      </c>
      <c r="I721" s="759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0</v>
      </c>
      <c r="K721" s="195">
        <f t="shared" ca="1" si="330"/>
        <v>0</v>
      </c>
      <c r="L721" s="757"/>
      <c r="M721" s="189"/>
      <c r="N721" s="757"/>
      <c r="O721" s="38"/>
      <c r="P721" s="38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569"/>
      <c r="C722" s="569"/>
      <c r="D722" s="569"/>
      <c r="E722" s="570"/>
      <c r="F722" s="569"/>
      <c r="G722" s="189"/>
      <c r="H722" s="743" t="s">
        <v>46</v>
      </c>
      <c r="I722" s="759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0</v>
      </c>
      <c r="K722" s="195">
        <f t="shared" ca="1" si="330"/>
        <v>0</v>
      </c>
      <c r="L722" s="38"/>
      <c r="M722" s="189"/>
      <c r="N722" s="757"/>
      <c r="O722" s="38"/>
      <c r="P722" s="38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569"/>
      <c r="C723" s="569"/>
      <c r="D723" s="569"/>
      <c r="E723" s="570" t="s">
        <v>306</v>
      </c>
      <c r="F723" s="569"/>
      <c r="G723" s="189"/>
      <c r="H723" s="182" t="s">
        <v>35</v>
      </c>
      <c r="I723" s="756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"),0)</f>
        <v>0</v>
      </c>
      <c r="K723" s="38">
        <f t="shared" ca="1" si="330"/>
        <v>0</v>
      </c>
      <c r="L723" s="38"/>
      <c r="M723" s="189"/>
      <c r="N723" s="757"/>
      <c r="O723" s="38"/>
      <c r="P723" s="38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569"/>
      <c r="C724" s="569"/>
      <c r="D724" s="569"/>
      <c r="E724" s="569"/>
      <c r="F724" s="569"/>
      <c r="G724" s="189"/>
      <c r="H724" s="182" t="s">
        <v>34</v>
      </c>
      <c r="I724" s="756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"),0)</f>
        <v>0</v>
      </c>
      <c r="K724" s="38"/>
      <c r="L724" s="757"/>
      <c r="M724" s="189"/>
      <c r="N724" s="757"/>
      <c r="O724" s="38"/>
      <c r="P724" s="38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569"/>
      <c r="C725" s="569"/>
      <c r="D725" s="569"/>
      <c r="E725" s="569"/>
      <c r="F725" s="569"/>
      <c r="G725" s="189"/>
      <c r="H725" s="182" t="s">
        <v>46</v>
      </c>
      <c r="I725" s="756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"),0)</f>
        <v>0</v>
      </c>
      <c r="K725" s="38">
        <f t="shared" ref="K725:K726" ca="1" si="331">IF(I725&gt;0,J725*100/I725,0)</f>
        <v>0</v>
      </c>
      <c r="L725" s="757"/>
      <c r="M725" s="189"/>
      <c r="N725" s="757"/>
      <c r="O725" s="38"/>
      <c r="P725" s="38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569"/>
      <c r="C726" s="569"/>
      <c r="D726" s="569"/>
      <c r="E726" s="570" t="s">
        <v>307</v>
      </c>
      <c r="F726" s="569"/>
      <c r="G726" s="189"/>
      <c r="H726" s="182" t="s">
        <v>35</v>
      </c>
      <c r="I726" s="756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57"/>
      <c r="O726" s="38"/>
      <c r="P726" s="38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569"/>
      <c r="C727" s="569"/>
      <c r="D727" s="569"/>
      <c r="E727" s="569"/>
      <c r="F727" s="569"/>
      <c r="G727" s="189"/>
      <c r="H727" s="182" t="s">
        <v>34</v>
      </c>
      <c r="I727" s="756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57"/>
      <c r="M727" s="189"/>
      <c r="N727" s="757"/>
      <c r="O727" s="38"/>
      <c r="P727" s="38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569"/>
      <c r="C728" s="569"/>
      <c r="D728" s="569"/>
      <c r="E728" s="569"/>
      <c r="F728" s="569"/>
      <c r="G728" s="189"/>
      <c r="H728" s="182" t="s">
        <v>46</v>
      </c>
      <c r="I728" s="756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57"/>
      <c r="M728" s="189"/>
      <c r="N728" s="757"/>
      <c r="O728" s="38"/>
      <c r="P728" s="38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569"/>
      <c r="C729" s="569"/>
      <c r="D729" s="570" t="s">
        <v>308</v>
      </c>
      <c r="E729" s="569"/>
      <c r="F729" s="569"/>
      <c r="G729" s="189"/>
      <c r="H729" s="192" t="s">
        <v>46</v>
      </c>
      <c r="I729" s="759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0</v>
      </c>
      <c r="K729" s="195">
        <f t="shared" ca="1" si="332"/>
        <v>0</v>
      </c>
      <c r="L729" s="38"/>
      <c r="M729" s="189"/>
      <c r="N729" s="757"/>
      <c r="O729" s="38"/>
      <c r="P729" s="38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569"/>
      <c r="C730" s="569"/>
      <c r="D730" s="569"/>
      <c r="E730" s="570" t="s">
        <v>309</v>
      </c>
      <c r="F730" s="569"/>
      <c r="G730" s="189"/>
      <c r="H730" s="182" t="s">
        <v>35</v>
      </c>
      <c r="I730" s="756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"),0)</f>
        <v>0</v>
      </c>
      <c r="K730" s="38"/>
      <c r="L730" s="757"/>
      <c r="M730" s="38"/>
      <c r="N730" s="757"/>
      <c r="O730" s="38"/>
      <c r="P730" s="38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569"/>
      <c r="C731" s="569"/>
      <c r="D731" s="569"/>
      <c r="E731" s="569"/>
      <c r="F731" s="569"/>
      <c r="G731" s="189"/>
      <c r="H731" s="182" t="s">
        <v>34</v>
      </c>
      <c r="I731" s="756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"),0)</f>
        <v>0</v>
      </c>
      <c r="K731" s="38"/>
      <c r="L731" s="757"/>
      <c r="M731" s="38"/>
      <c r="N731" s="757"/>
      <c r="O731" s="38"/>
      <c r="P731" s="38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569"/>
      <c r="C732" s="569"/>
      <c r="D732" s="569"/>
      <c r="E732" s="569"/>
      <c r="F732" s="569"/>
      <c r="G732" s="189"/>
      <c r="H732" s="182" t="s">
        <v>46</v>
      </c>
      <c r="I732" s="756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"),0)</f>
        <v>0</v>
      </c>
      <c r="K732" s="38"/>
      <c r="L732" s="757"/>
      <c r="M732" s="38"/>
      <c r="N732" s="757"/>
      <c r="O732" s="38"/>
      <c r="P732" s="38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569"/>
      <c r="C733" s="569"/>
      <c r="D733" s="569"/>
      <c r="E733" s="570" t="s">
        <v>310</v>
      </c>
      <c r="F733" s="569"/>
      <c r="G733" s="189"/>
      <c r="H733" s="182" t="s">
        <v>35</v>
      </c>
      <c r="I733" s="756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"),0)</f>
        <v>0</v>
      </c>
      <c r="K733" s="38"/>
      <c r="L733" s="757"/>
      <c r="M733" s="38"/>
      <c r="N733" s="757"/>
      <c r="O733" s="38"/>
      <c r="P733" s="38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569"/>
      <c r="C734" s="569"/>
      <c r="D734" s="569"/>
      <c r="E734" s="569"/>
      <c r="F734" s="569"/>
      <c r="G734" s="189"/>
      <c r="H734" s="182" t="s">
        <v>34</v>
      </c>
      <c r="I734" s="756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"),0)</f>
        <v>0</v>
      </c>
      <c r="K734" s="38"/>
      <c r="L734" s="757"/>
      <c r="M734" s="38"/>
      <c r="N734" s="757"/>
      <c r="O734" s="38"/>
      <c r="P734" s="38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"),0)</f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593"/>
      <c r="C737" s="593" t="s">
        <v>16</v>
      </c>
      <c r="D737" s="839" t="s">
        <v>17</v>
      </c>
      <c r="E737" s="832"/>
      <c r="F737" s="832"/>
      <c r="G737" s="596"/>
      <c r="H737" s="639" t="s">
        <v>12</v>
      </c>
      <c r="I737" s="44"/>
      <c r="J737" s="44"/>
      <c r="K737" s="45"/>
      <c r="L737" s="640">
        <f t="shared" ref="L737:N737" si="333">L738+L739</f>
        <v>0</v>
      </c>
      <c r="M737" s="640">
        <f t="shared" si="333"/>
        <v>0</v>
      </c>
      <c r="N737" s="640">
        <f t="shared" si="333"/>
        <v>0</v>
      </c>
      <c r="O737" s="640">
        <f t="shared" ref="O737:O742" si="334">IF(L737&gt;0,N737*100/L737,0)</f>
        <v>0</v>
      </c>
      <c r="P737" s="640">
        <f t="shared" ref="P737:P742" si="33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593"/>
      <c r="C738" s="593"/>
      <c r="D738" s="594"/>
      <c r="E738" s="595" t="s">
        <v>184</v>
      </c>
      <c r="F738" s="593"/>
      <c r="G738" s="596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598"/>
      <c r="C739" s="593"/>
      <c r="D739" s="594"/>
      <c r="E739" s="595" t="s">
        <v>185</v>
      </c>
      <c r="F739" s="593"/>
      <c r="G739" s="596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598"/>
      <c r="C740" s="593"/>
      <c r="D740" s="773" t="s">
        <v>20</v>
      </c>
      <c r="E740" s="593"/>
      <c r="F740" s="593"/>
      <c r="G740" s="596"/>
      <c r="H740" s="639" t="s">
        <v>12</v>
      </c>
      <c r="I740" s="166"/>
      <c r="J740" s="166"/>
      <c r="K740" s="167"/>
      <c r="L740" s="640">
        <f t="shared" ref="L740:N740" si="338">L741+L742</f>
        <v>0</v>
      </c>
      <c r="M740" s="640">
        <f t="shared" si="338"/>
        <v>0</v>
      </c>
      <c r="N740" s="640">
        <f t="shared" si="338"/>
        <v>0</v>
      </c>
      <c r="O740" s="640">
        <f t="shared" si="334"/>
        <v>0</v>
      </c>
      <c r="P740" s="640">
        <f t="shared" si="33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598"/>
      <c r="C741" s="593"/>
      <c r="D741" s="594"/>
      <c r="E741" s="595" t="s">
        <v>184</v>
      </c>
      <c r="F741" s="593"/>
      <c r="G741" s="596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598"/>
      <c r="C742" s="593"/>
      <c r="D742" s="594"/>
      <c r="E742" s="595" t="s">
        <v>185</v>
      </c>
      <c r="F742" s="593"/>
      <c r="G742" s="596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598"/>
      <c r="C743" s="593"/>
      <c r="D743" s="593"/>
      <c r="E743" s="593"/>
      <c r="F743" s="595" t="s">
        <v>186</v>
      </c>
      <c r="G743" s="596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598"/>
      <c r="C744" s="593"/>
      <c r="D744" s="593"/>
      <c r="E744" s="593"/>
      <c r="F744" s="595" t="s">
        <v>187</v>
      </c>
      <c r="G744" s="596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598"/>
      <c r="C745" s="593"/>
      <c r="D745" s="593"/>
      <c r="E745" s="593"/>
      <c r="F745" s="595" t="s">
        <v>188</v>
      </c>
      <c r="G745" s="596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598"/>
      <c r="C746" s="593"/>
      <c r="D746" s="593"/>
      <c r="E746" s="593"/>
      <c r="F746" s="595" t="s">
        <v>189</v>
      </c>
      <c r="G746" s="596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598"/>
      <c r="C747" s="593"/>
      <c r="D747" s="773" t="s">
        <v>21</v>
      </c>
      <c r="E747" s="593"/>
      <c r="F747" s="593"/>
      <c r="G747" s="596"/>
      <c r="H747" s="774" t="s">
        <v>12</v>
      </c>
      <c r="I747" s="166"/>
      <c r="J747" s="166"/>
      <c r="K747" s="167"/>
      <c r="L747" s="640">
        <f t="shared" ref="L747:N747" si="339">L748+L749</f>
        <v>0</v>
      </c>
      <c r="M747" s="640">
        <f t="shared" si="339"/>
        <v>0</v>
      </c>
      <c r="N747" s="640">
        <f t="shared" si="339"/>
        <v>0</v>
      </c>
      <c r="O747" s="640">
        <f t="shared" ref="O747:O749" si="340">IF(L747&gt;0,N747*100/L747,0)</f>
        <v>0</v>
      </c>
      <c r="P747" s="640">
        <f t="shared" ref="P747:P749" si="34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598"/>
      <c r="C748" s="593"/>
      <c r="D748" s="593"/>
      <c r="E748" s="595" t="s">
        <v>18</v>
      </c>
      <c r="F748" s="593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598"/>
      <c r="C749" s="593"/>
      <c r="D749" s="593"/>
      <c r="E749" s="595" t="s">
        <v>19</v>
      </c>
      <c r="F749" s="593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8"/>
      <c r="C750" s="593" t="s">
        <v>16</v>
      </c>
      <c r="D750" s="775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598"/>
      <c r="C751" s="593"/>
      <c r="D751" s="593"/>
      <c r="E751" s="595" t="s">
        <v>313</v>
      </c>
      <c r="F751" s="593"/>
      <c r="G751" s="596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598"/>
      <c r="C752" s="593"/>
      <c r="D752" s="593"/>
      <c r="E752" s="593"/>
      <c r="F752" s="593"/>
      <c r="G752" s="596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593"/>
      <c r="C754" s="593" t="s">
        <v>16</v>
      </c>
      <c r="D754" s="839" t="s">
        <v>17</v>
      </c>
      <c r="E754" s="832"/>
      <c r="F754" s="832"/>
      <c r="G754" s="596"/>
      <c r="H754" s="639" t="s">
        <v>12</v>
      </c>
      <c r="I754" s="44"/>
      <c r="J754" s="44"/>
      <c r="K754" s="45"/>
      <c r="L754" s="640">
        <f t="shared" ref="L754:N754" si="342">L755+L756</f>
        <v>0</v>
      </c>
      <c r="M754" s="640">
        <f t="shared" si="342"/>
        <v>0</v>
      </c>
      <c r="N754" s="640">
        <f t="shared" si="342"/>
        <v>0</v>
      </c>
      <c r="O754" s="640">
        <f t="shared" ref="O754:O759" si="343">IF(L754&gt;0,N754*100/L754,0)</f>
        <v>0</v>
      </c>
      <c r="P754" s="640">
        <f t="shared" ref="P754:P759" si="34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593"/>
      <c r="C755" s="593"/>
      <c r="D755" s="594"/>
      <c r="E755" s="595" t="s">
        <v>184</v>
      </c>
      <c r="F755" s="593"/>
      <c r="G755" s="596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598"/>
      <c r="C756" s="593"/>
      <c r="D756" s="594"/>
      <c r="E756" s="595" t="s">
        <v>185</v>
      </c>
      <c r="F756" s="593"/>
      <c r="G756" s="596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598"/>
      <c r="C757" s="593"/>
      <c r="D757" s="773" t="s">
        <v>20</v>
      </c>
      <c r="E757" s="593"/>
      <c r="F757" s="593"/>
      <c r="G757" s="596"/>
      <c r="H757" s="639" t="s">
        <v>12</v>
      </c>
      <c r="I757" s="166"/>
      <c r="J757" s="166"/>
      <c r="K757" s="167"/>
      <c r="L757" s="640">
        <f t="shared" ref="L757:N757" si="347">L758+L759</f>
        <v>0</v>
      </c>
      <c r="M757" s="640">
        <f t="shared" si="347"/>
        <v>0</v>
      </c>
      <c r="N757" s="640">
        <f t="shared" si="347"/>
        <v>0</v>
      </c>
      <c r="O757" s="640">
        <f t="shared" si="343"/>
        <v>0</v>
      </c>
      <c r="P757" s="640">
        <f t="shared" si="34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598"/>
      <c r="C758" s="593"/>
      <c r="D758" s="594"/>
      <c r="E758" s="595" t="s">
        <v>184</v>
      </c>
      <c r="F758" s="593"/>
      <c r="G758" s="596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598"/>
      <c r="C759" s="593"/>
      <c r="D759" s="594"/>
      <c r="E759" s="595" t="s">
        <v>185</v>
      </c>
      <c r="F759" s="593"/>
      <c r="G759" s="596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598"/>
      <c r="C760" s="593"/>
      <c r="D760" s="593"/>
      <c r="E760" s="593"/>
      <c r="F760" s="595" t="s">
        <v>186</v>
      </c>
      <c r="G760" s="596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598"/>
      <c r="C761" s="593"/>
      <c r="D761" s="593"/>
      <c r="E761" s="593"/>
      <c r="F761" s="595" t="s">
        <v>187</v>
      </c>
      <c r="G761" s="596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598"/>
      <c r="C762" s="593"/>
      <c r="D762" s="593"/>
      <c r="E762" s="593"/>
      <c r="F762" s="595" t="s">
        <v>188</v>
      </c>
      <c r="G762" s="596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598"/>
      <c r="C763" s="593"/>
      <c r="D763" s="593"/>
      <c r="E763" s="593"/>
      <c r="F763" s="595" t="s">
        <v>189</v>
      </c>
      <c r="G763" s="596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598"/>
      <c r="C764" s="593"/>
      <c r="D764" s="773" t="s">
        <v>21</v>
      </c>
      <c r="E764" s="593"/>
      <c r="F764" s="593"/>
      <c r="G764" s="596"/>
      <c r="H764" s="774" t="s">
        <v>12</v>
      </c>
      <c r="I764" s="166"/>
      <c r="J764" s="166"/>
      <c r="K764" s="167"/>
      <c r="L764" s="640">
        <f t="shared" ref="L764:N764" si="348">L765+L766</f>
        <v>0</v>
      </c>
      <c r="M764" s="640">
        <f t="shared" si="348"/>
        <v>0</v>
      </c>
      <c r="N764" s="640">
        <f t="shared" si="348"/>
        <v>0</v>
      </c>
      <c r="O764" s="640">
        <f t="shared" ref="O764:O766" si="349">IF(L764&gt;0,N764*100/L764,0)</f>
        <v>0</v>
      </c>
      <c r="P764" s="640">
        <f t="shared" ref="P764:P766" si="350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598"/>
      <c r="C765" s="593"/>
      <c r="D765" s="593"/>
      <c r="E765" s="595" t="s">
        <v>18</v>
      </c>
      <c r="F765" s="593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598"/>
      <c r="C766" s="593"/>
      <c r="D766" s="593"/>
      <c r="E766" s="595" t="s">
        <v>19</v>
      </c>
      <c r="F766" s="593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8"/>
      <c r="C767" s="593" t="s">
        <v>16</v>
      </c>
      <c r="D767" s="775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598"/>
      <c r="C768" s="593"/>
      <c r="D768" s="593"/>
      <c r="E768" s="595" t="s">
        <v>316</v>
      </c>
      <c r="F768" s="593"/>
      <c r="G768" s="596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593"/>
      <c r="C770" s="593" t="s">
        <v>16</v>
      </c>
      <c r="D770" s="839" t="s">
        <v>17</v>
      </c>
      <c r="E770" s="832"/>
      <c r="F770" s="832"/>
      <c r="G770" s="596"/>
      <c r="H770" s="639" t="s">
        <v>12</v>
      </c>
      <c r="I770" s="44"/>
      <c r="J770" s="44"/>
      <c r="K770" s="45"/>
      <c r="L770" s="640">
        <f t="shared" ref="L770:N770" si="351">L771+L772</f>
        <v>0</v>
      </c>
      <c r="M770" s="640">
        <f t="shared" si="351"/>
        <v>0</v>
      </c>
      <c r="N770" s="640">
        <f t="shared" si="351"/>
        <v>0</v>
      </c>
      <c r="O770" s="640">
        <f t="shared" ref="O770:O775" si="352">IF(L770&gt;0,N770*100/L770,0)</f>
        <v>0</v>
      </c>
      <c r="P770" s="640">
        <f t="shared" ref="P770:P775" si="353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593"/>
      <c r="C771" s="593"/>
      <c r="D771" s="594"/>
      <c r="E771" s="595" t="s">
        <v>184</v>
      </c>
      <c r="F771" s="593"/>
      <c r="G771" s="596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598"/>
      <c r="C772" s="593"/>
      <c r="D772" s="594"/>
      <c r="E772" s="595" t="s">
        <v>185</v>
      </c>
      <c r="F772" s="593"/>
      <c r="G772" s="596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598"/>
      <c r="C773" s="593"/>
      <c r="D773" s="773" t="s">
        <v>20</v>
      </c>
      <c r="E773" s="593"/>
      <c r="F773" s="593"/>
      <c r="G773" s="596"/>
      <c r="H773" s="639" t="s">
        <v>12</v>
      </c>
      <c r="I773" s="166"/>
      <c r="J773" s="166"/>
      <c r="K773" s="167"/>
      <c r="L773" s="640">
        <f t="shared" ref="L773:N773" si="356">L774+L775</f>
        <v>0</v>
      </c>
      <c r="M773" s="640">
        <f t="shared" si="356"/>
        <v>0</v>
      </c>
      <c r="N773" s="640">
        <f t="shared" si="356"/>
        <v>0</v>
      </c>
      <c r="O773" s="640">
        <f t="shared" si="352"/>
        <v>0</v>
      </c>
      <c r="P773" s="640">
        <f t="shared" si="353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598"/>
      <c r="C774" s="593"/>
      <c r="D774" s="594"/>
      <c r="E774" s="595" t="s">
        <v>184</v>
      </c>
      <c r="F774" s="593"/>
      <c r="G774" s="596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598"/>
      <c r="C775" s="593"/>
      <c r="D775" s="594"/>
      <c r="E775" s="595" t="s">
        <v>185</v>
      </c>
      <c r="F775" s="593"/>
      <c r="G775" s="596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598"/>
      <c r="C776" s="593"/>
      <c r="D776" s="593"/>
      <c r="E776" s="593"/>
      <c r="F776" s="595" t="s">
        <v>186</v>
      </c>
      <c r="G776" s="596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598"/>
      <c r="C777" s="593"/>
      <c r="D777" s="593"/>
      <c r="E777" s="593"/>
      <c r="F777" s="595" t="s">
        <v>187</v>
      </c>
      <c r="G777" s="596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598"/>
      <c r="C778" s="593"/>
      <c r="D778" s="593"/>
      <c r="E778" s="593"/>
      <c r="F778" s="595" t="s">
        <v>188</v>
      </c>
      <c r="G778" s="596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598"/>
      <c r="C779" s="593"/>
      <c r="D779" s="593"/>
      <c r="E779" s="593"/>
      <c r="F779" s="595" t="s">
        <v>189</v>
      </c>
      <c r="G779" s="596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598"/>
      <c r="C780" s="593"/>
      <c r="D780" s="773" t="s">
        <v>21</v>
      </c>
      <c r="E780" s="593"/>
      <c r="F780" s="593"/>
      <c r="G780" s="596"/>
      <c r="H780" s="774" t="s">
        <v>12</v>
      </c>
      <c r="I780" s="166"/>
      <c r="J780" s="166"/>
      <c r="K780" s="167"/>
      <c r="L780" s="640">
        <f t="shared" ref="L780:N780" si="357">L781+L782</f>
        <v>0</v>
      </c>
      <c r="M780" s="640">
        <f t="shared" si="357"/>
        <v>0</v>
      </c>
      <c r="N780" s="640">
        <f t="shared" si="357"/>
        <v>0</v>
      </c>
      <c r="O780" s="640">
        <f t="shared" ref="O780:O782" si="358">IF(L780&gt;0,N780*100/L780,0)</f>
        <v>0</v>
      </c>
      <c r="P780" s="640">
        <f t="shared" ref="P780:P782" si="359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598"/>
      <c r="C781" s="593"/>
      <c r="D781" s="593"/>
      <c r="E781" s="595" t="s">
        <v>18</v>
      </c>
      <c r="F781" s="593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598"/>
      <c r="C782" s="593"/>
      <c r="D782" s="593"/>
      <c r="E782" s="595" t="s">
        <v>19</v>
      </c>
      <c r="F782" s="593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8"/>
      <c r="C783" s="593" t="s">
        <v>16</v>
      </c>
      <c r="D783" s="775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598"/>
      <c r="C784" s="593"/>
      <c r="D784" s="593"/>
      <c r="E784" s="595" t="s">
        <v>318</v>
      </c>
      <c r="F784" s="593"/>
      <c r="G784" s="596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60">I800</f>
        <v>32000</v>
      </c>
      <c r="J785" s="798">
        <f t="shared" ca="1" si="360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569" t="s">
        <v>16</v>
      </c>
      <c r="D786" s="838" t="s">
        <v>17</v>
      </c>
      <c r="E786" s="832"/>
      <c r="F786" s="832"/>
      <c r="G786" s="189"/>
      <c r="H786" s="591" t="s">
        <v>12</v>
      </c>
      <c r="I786" s="37"/>
      <c r="J786" s="37"/>
      <c r="K786" s="38"/>
      <c r="L786" s="195">
        <f t="shared" ref="L786:N786" ca="1" si="361">L787+L788</f>
        <v>2156480</v>
      </c>
      <c r="M786" s="195">
        <f t="shared" si="361"/>
        <v>0</v>
      </c>
      <c r="N786" s="195">
        <f t="shared" ca="1" si="361"/>
        <v>126189</v>
      </c>
      <c r="O786" s="195">
        <f t="shared" ref="O786:O791" ca="1" si="362">IF(L786&gt;0,N786*100/L786,0)</f>
        <v>5.8516193055349461</v>
      </c>
      <c r="P786" s="195">
        <f t="shared" ref="P786:P791" si="363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598"/>
      <c r="C787" s="593"/>
      <c r="D787" s="594"/>
      <c r="E787" s="595" t="s">
        <v>184</v>
      </c>
      <c r="F787" s="593"/>
      <c r="G787" s="596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598"/>
      <c r="C788" s="598"/>
      <c r="D788" s="608"/>
      <c r="E788" s="595" t="s">
        <v>185</v>
      </c>
      <c r="F788" s="593"/>
      <c r="G788" s="596"/>
      <c r="H788" s="165" t="s">
        <v>12</v>
      </c>
      <c r="I788" s="44"/>
      <c r="J788" s="44"/>
      <c r="K788" s="45"/>
      <c r="L788" s="45">
        <f t="shared" ref="L788:N788" ca="1" si="365">L791+L798</f>
        <v>2156480</v>
      </c>
      <c r="M788" s="45">
        <f t="shared" si="365"/>
        <v>0</v>
      </c>
      <c r="N788" s="45">
        <f t="shared" ca="1" si="365"/>
        <v>126189</v>
      </c>
      <c r="O788" s="45">
        <f t="shared" ca="1" si="362"/>
        <v>5.8516193055349461</v>
      </c>
      <c r="P788" s="45">
        <f t="shared" si="363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569"/>
      <c r="F789" s="569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2156480</v>
      </c>
      <c r="M789" s="38">
        <f t="shared" si="366"/>
        <v>0</v>
      </c>
      <c r="N789" s="38">
        <f t="shared" ca="1" si="366"/>
        <v>126189</v>
      </c>
      <c r="O789" s="38">
        <f t="shared" ca="1" si="362"/>
        <v>5.8516193055349461</v>
      </c>
      <c r="P789" s="38">
        <f t="shared" si="363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598"/>
      <c r="C790" s="598"/>
      <c r="D790" s="608"/>
      <c r="E790" s="595" t="s">
        <v>184</v>
      </c>
      <c r="F790" s="593"/>
      <c r="G790" s="596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598"/>
      <c r="C791" s="598"/>
      <c r="D791" s="608"/>
      <c r="E791" s="595" t="s">
        <v>185</v>
      </c>
      <c r="F791" s="593"/>
      <c r="G791" s="596"/>
      <c r="H791" s="165" t="s">
        <v>12</v>
      </c>
      <c r="I791" s="44"/>
      <c r="J791" s="44"/>
      <c r="K791" s="45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v>0</v>
      </c>
      <c r="N791" s="45">
        <f ca="1">N792+N793+N794+N795</f>
        <v>126189</v>
      </c>
      <c r="O791" s="45">
        <f t="shared" ca="1" si="362"/>
        <v>5.8516193055349461</v>
      </c>
      <c r="P791" s="45">
        <f t="shared" si="363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569"/>
      <c r="D792" s="569"/>
      <c r="E792" s="569"/>
      <c r="F792" s="570" t="s">
        <v>186</v>
      </c>
      <c r="G792" s="189"/>
      <c r="H792" s="161" t="s">
        <v>12</v>
      </c>
      <c r="I792" s="37"/>
      <c r="J792" s="37"/>
      <c r="K792" s="38"/>
      <c r="L792" s="38"/>
      <c r="M792" s="38"/>
      <c r="N792" s="282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569"/>
      <c r="D793" s="569"/>
      <c r="E793" s="569"/>
      <c r="F793" s="570" t="s">
        <v>187</v>
      </c>
      <c r="G793" s="189"/>
      <c r="H793" s="161" t="s">
        <v>12</v>
      </c>
      <c r="I793" s="37"/>
      <c r="J793" s="37"/>
      <c r="K793" s="38"/>
      <c r="L793" s="38"/>
      <c r="M793" s="38"/>
      <c r="N793" s="282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"),0)</f>
        <v>0</v>
      </c>
      <c r="O793" s="38"/>
      <c r="P793" s="38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569"/>
      <c r="D794" s="569"/>
      <c r="E794" s="569"/>
      <c r="F794" s="570" t="s">
        <v>188</v>
      </c>
      <c r="G794" s="189"/>
      <c r="H794" s="161" t="s">
        <v>12</v>
      </c>
      <c r="I794" s="37"/>
      <c r="J794" s="37"/>
      <c r="K794" s="38"/>
      <c r="L794" s="38"/>
      <c r="M794" s="38"/>
      <c r="N794" s="282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"),31343.57)</f>
        <v>31343.57</v>
      </c>
      <c r="O794" s="38"/>
      <c r="P794" s="38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569"/>
      <c r="D795" s="569"/>
      <c r="E795" s="569"/>
      <c r="F795" s="570" t="s">
        <v>189</v>
      </c>
      <c r="G795" s="189"/>
      <c r="H795" s="161" t="s">
        <v>12</v>
      </c>
      <c r="I795" s="37"/>
      <c r="J795" s="37"/>
      <c r="K795" s="38"/>
      <c r="L795" s="38"/>
      <c r="M795" s="38"/>
      <c r="N795" s="282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"),94845.43)</f>
        <v>94845.43</v>
      </c>
      <c r="O795" s="38"/>
      <c r="P795" s="38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569"/>
      <c r="D796" s="599" t="s">
        <v>21</v>
      </c>
      <c r="E796" s="569"/>
      <c r="F796" s="569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598"/>
      <c r="C797" s="593"/>
      <c r="D797" s="593"/>
      <c r="E797" s="595" t="s">
        <v>18</v>
      </c>
      <c r="F797" s="593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598"/>
      <c r="C798" s="593"/>
      <c r="D798" s="593"/>
      <c r="E798" s="595" t="s">
        <v>19</v>
      </c>
      <c r="F798" s="593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02"/>
      <c r="C799" s="569" t="s">
        <v>16</v>
      </c>
      <c r="D799" s="751" t="s">
        <v>38</v>
      </c>
      <c r="E799" s="605"/>
      <c r="F799" s="605"/>
      <c r="G799" s="606"/>
      <c r="H799" s="801"/>
      <c r="I799" s="162"/>
      <c r="J799" s="162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02"/>
      <c r="C800" s="602"/>
      <c r="D800" s="602"/>
      <c r="E800" s="612"/>
      <c r="F800" s="187" t="s">
        <v>320</v>
      </c>
      <c r="G800" s="175"/>
      <c r="H800" s="185" t="s">
        <v>46</v>
      </c>
      <c r="I800" s="162">
        <f ca="1">IFERROR(__xludf.DUMMYFUNCTION("IMPORTRANGE(""https://docs.google.com/spreadsheets/d/1fb2B9NLcpJgjIieIJvenUTNPn0TimZDUi0OtYeiSQ_s/edit?usp=share_link"",""กาฬสินธุ์!I800"")+IMPORTRANGE(""https://docs.google.com/spreadsheets/d/1SaMnqrwRGmFYNR0MhpWmHuL5niYUd5E7vDq8X7whAlI/edit?usp=share_li"&amp;"nk"",""ขอนแก่น!I800"")
+IMPORTRANGE(""https://docs.google.com/spreadsheets/d/1xQzEtGHhTTgxHh6YUkKY1P4dRyjVhS74dGswLfAASA4/edit?usp=share_link"",""ชัยภูมิ!I800"")+IMPORTRANGE(""https://docs.google.com/spreadsheets/d/1EXMBoBxU3OFbjT2TRpneM33qFjqDzrKmn9ydcfl"&amp;"fI0o/edit?usp=share_link"",""นครพนม!I800"")+IMPORTRANGE(""https://docs.google.com/spreadsheets/d/1bDQrolntRWtHumK8W-x-HXKntwxB9S3sF5aDeRS66Ko/edit?usp=share_link"",""นครราชสีมา!I800"")+IMPORTRANGE(""https://docs.google.com/spreadsheets/d/1_MzZ-2gVPiCW-d2V"&amp;"cafoCmFJQTSrZ6SQyFcMqRRQQ2w/edit?usp=share_link"",""บึงกาฬ!I800"")
+IMPORTRANGE(""https://docs.google.com/spreadsheets/d/1B3lPpzOuaNwVItLwLEZYl_qEblfcx7dRnbRkAw0l-pE/edit?usp=share_link"",""บุรีรัมย์!I800"")+IMPORTRANGE(""https://docs.google.com/spreadshe"&amp;"ets/d/19GOkiOqnzYbevLYWrMk4qFOXe3rX14BkSA8X-mq-a40/edit?usp=share_link"",""มหาสารคาม!I800"")+IMPORTRANGE(""https://docs.google.com/spreadsheets/d/1uMKqWwuNQ-TCKboGA3Bb1qXb5uj2-faACNUINCz8PN4/edit?usp=share_link"",""มุกดาหาร!I800"")+IMPORTRANGE(""https://d"&amp;"ocs.google.com/spreadsheets/d/1oKaccgDdQABndOzGr688Dbfxb_V3YcF67VqEPBtdzsc/edit?usp=share_link"",""ยโสธร!I800"")+IMPORTRANGE(""https://docs.google.com/spreadsheets/d/1BRgc8xKpxZ0PX-gauieMVkV_IOxKSotf0yW8MabGprQ/edit?usp=share_link"",""ร้อยเอ็ด!I800"")+IMP"&amp;"ORTRANGE(""https://docs.google.com/spreadsheets/d/1IdolZc-dfdgMwAm_KZxYJl1sUOcIgnbGQzbWOlddedo/edit?usp=share_link"",""เลย!I800"")+IMPORTRANGE(""https://docs.google.com/spreadsheets/d/1tZ0nmtGuIRCaGAMXHlQU8EpR9LOAJvyKfc4f7EFmE34/edit?usp=share_link"",""ศร"&amp;"ีสะเกษ!I800"")+IMPORTRANGE(""https://docs.google.com/spreadsheets/d/1QC8psz9w0f9IVE9Xuc2FT_btkaOzZbbUSgYObpBuetM/edit?usp=share_link"",""สกลนคร!I800"")+IMPORTRANGE(""https://docs.google.com/spreadsheets/d/1wPdvRbu02d33MYVlbsCnyTiZpefEBs9NNktAnT1HZvw/edit?"&amp;"usp=share_link"",""สุรินทร์!I800"")+IMPORTRANGE(""https://docs.google.com/spreadsheets/d/1GVExpf-Exi_2gmuqTYH28fseTB9MoKPXWcXCbSt_YrM/edit?usp=share_link"",""หนองคาย!I800"")+IMPORTRANGE(""https://docs.google.com/spreadsheets/d/16UeMz0UgOB5BZcoxP75eYGcLFtG"&amp;"YRn9GoesD4OX9m5U/edit?usp=share_link"",""หนองบัวลำภู!I800"")+IMPORTRANGE(""https://docs.google.com/spreadsheets/d/1uUP8Zo1-qaJLuIkRU0qlwLSE3DHkbdrrj2JGJiWBQZE/edit?usp=share_link"",""อำนาจเจริญ!I800"")+IMPORTRANGE(""https://docs.google.com/spreadsheets/d/"&amp;"1hb_taSOHanzRjqfzWPiFo8yiT83VV1L7vvUCLhOiHKc/edit?usp=share_link"",""อุดรธานี!I800"")+IMPORTRANGE(""https://docs.google.com/spreadsheets/d/17IOkEwkUd63EGNfyNDnM5de9YlZ7rwzTiW6-dokVjKI/edit?usp=share_link"",""อุบลราชธานี!I800"")
"),32000)</f>
        <v>32000</v>
      </c>
      <c r="J800" s="184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02"/>
      <c r="C801" s="602"/>
      <c r="D801" s="602"/>
      <c r="E801" s="612"/>
      <c r="F801" s="612"/>
      <c r="G801" s="175"/>
      <c r="H801" s="161" t="s">
        <v>34</v>
      </c>
      <c r="I801" s="162"/>
      <c r="J801" s="37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"),0)</f>
        <v>0</v>
      </c>
      <c r="K801" s="38"/>
      <c r="L801" s="38"/>
      <c r="M801" s="38"/>
      <c r="N801" s="38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8"/>
      <c r="C802" s="608"/>
      <c r="D802" s="608"/>
      <c r="E802" s="594"/>
      <c r="F802" s="711" t="s">
        <v>321</v>
      </c>
      <c r="G802" s="365"/>
      <c r="H802" s="646" t="s">
        <v>46</v>
      </c>
      <c r="I802" s="166"/>
      <c r="J802" s="44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8"/>
      <c r="C803" s="608"/>
      <c r="D803" s="608"/>
      <c r="E803" s="594"/>
      <c r="F803" s="594"/>
      <c r="G803" s="365"/>
      <c r="H803" s="646" t="s">
        <v>34</v>
      </c>
      <c r="I803" s="166"/>
      <c r="J803" s="44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593"/>
      <c r="C805" s="593" t="s">
        <v>16</v>
      </c>
      <c r="D805" s="839" t="s">
        <v>17</v>
      </c>
      <c r="E805" s="832"/>
      <c r="F805" s="832"/>
      <c r="G805" s="596"/>
      <c r="H805" s="639" t="s">
        <v>12</v>
      </c>
      <c r="I805" s="44"/>
      <c r="J805" s="44"/>
      <c r="K805" s="45"/>
      <c r="L805" s="640">
        <f t="shared" ref="L805:N805" si="370">L806+L807</f>
        <v>0</v>
      </c>
      <c r="M805" s="640">
        <f t="shared" si="370"/>
        <v>0</v>
      </c>
      <c r="N805" s="640">
        <f t="shared" si="370"/>
        <v>0</v>
      </c>
      <c r="O805" s="640">
        <f t="shared" ref="O805:O810" si="371">IF(L805&gt;0,N805*100/L805,0)</f>
        <v>0</v>
      </c>
      <c r="P805" s="640">
        <f t="shared" ref="P805:P810" si="372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593"/>
      <c r="C806" s="593"/>
      <c r="D806" s="608"/>
      <c r="E806" s="595" t="s">
        <v>184</v>
      </c>
      <c r="F806" s="593"/>
      <c r="G806" s="596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593"/>
      <c r="C807" s="593"/>
      <c r="D807" s="608"/>
      <c r="E807" s="595" t="s">
        <v>185</v>
      </c>
      <c r="F807" s="593"/>
      <c r="G807" s="596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598"/>
      <c r="C808" s="593"/>
      <c r="D808" s="841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75">L809+L810</f>
        <v>0</v>
      </c>
      <c r="M808" s="640">
        <f t="shared" si="375"/>
        <v>0</v>
      </c>
      <c r="N808" s="640">
        <f t="shared" si="375"/>
        <v>0</v>
      </c>
      <c r="O808" s="640">
        <f t="shared" si="371"/>
        <v>0</v>
      </c>
      <c r="P808" s="640">
        <f t="shared" si="372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593"/>
      <c r="C809" s="593"/>
      <c r="D809" s="608"/>
      <c r="E809" s="595" t="s">
        <v>184</v>
      </c>
      <c r="F809" s="593"/>
      <c r="G809" s="596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593"/>
      <c r="C810" s="593"/>
      <c r="D810" s="608"/>
      <c r="E810" s="595" t="s">
        <v>185</v>
      </c>
      <c r="F810" s="593"/>
      <c r="G810" s="596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598"/>
      <c r="C811" s="593"/>
      <c r="D811" s="598"/>
      <c r="E811" s="593"/>
      <c r="F811" s="595" t="s">
        <v>186</v>
      </c>
      <c r="G811" s="596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598"/>
      <c r="C812" s="593"/>
      <c r="D812" s="598"/>
      <c r="E812" s="593"/>
      <c r="F812" s="595" t="s">
        <v>187</v>
      </c>
      <c r="G812" s="596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598"/>
      <c r="C813" s="593"/>
      <c r="D813" s="598"/>
      <c r="E813" s="593"/>
      <c r="F813" s="595" t="s">
        <v>188</v>
      </c>
      <c r="G813" s="596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598"/>
      <c r="C814" s="593"/>
      <c r="D814" s="598"/>
      <c r="E814" s="593"/>
      <c r="F814" s="595" t="s">
        <v>189</v>
      </c>
      <c r="G814" s="596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598"/>
      <c r="C815" s="593"/>
      <c r="D815" s="841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76">L816+L817</f>
        <v>0</v>
      </c>
      <c r="M815" s="640">
        <f t="shared" si="376"/>
        <v>0</v>
      </c>
      <c r="N815" s="640">
        <f t="shared" si="376"/>
        <v>0</v>
      </c>
      <c r="O815" s="640">
        <f t="shared" ref="O815:O817" si="377">IF(L815&gt;0,N815*100/L815,0)</f>
        <v>0</v>
      </c>
      <c r="P815" s="640">
        <f t="shared" ref="P815:P817" si="378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598"/>
      <c r="C816" s="593"/>
      <c r="D816" s="598"/>
      <c r="E816" s="595" t="s">
        <v>18</v>
      </c>
      <c r="F816" s="593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598"/>
      <c r="C817" s="593"/>
      <c r="D817" s="598"/>
      <c r="E817" s="595" t="s">
        <v>19</v>
      </c>
      <c r="F817" s="593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8"/>
      <c r="C818" s="593" t="s">
        <v>16</v>
      </c>
      <c r="D818" s="803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8.75" hidden="1">
      <c r="A819" s="804"/>
      <c r="B819" s="805"/>
      <c r="C819" s="806"/>
      <c r="D819" s="805"/>
      <c r="E819" s="807" t="s">
        <v>323</v>
      </c>
      <c r="F819" s="806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324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570" t="s">
        <v>325</v>
      </c>
      <c r="C821" s="569"/>
      <c r="D821" s="568"/>
      <c r="E821" s="569"/>
      <c r="F821" s="569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"),131461658.519999)</f>
        <v>131461658.519999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"),487300.22)</f>
        <v>487300.22</v>
      </c>
      <c r="K821" s="38">
        <f t="shared" ref="K821:K828" ca="1" si="379">IF(I821&gt;0,J821*100/I821,0)</f>
        <v>0.37067858833217748</v>
      </c>
      <c r="L821" s="38"/>
      <c r="M821" s="38"/>
      <c r="N821" s="38"/>
      <c r="O821" s="38"/>
      <c r="P821" s="38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569"/>
      <c r="C822" s="569"/>
      <c r="D822" s="568"/>
      <c r="E822" s="569"/>
      <c r="F822" s="569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"),8531)</f>
        <v>8531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"),29)</f>
        <v>29</v>
      </c>
      <c r="K822" s="38">
        <f t="shared" ca="1" si="379"/>
        <v>0.33993670144180049</v>
      </c>
      <c r="L822" s="38"/>
      <c r="M822" s="38"/>
      <c r="N822" s="38"/>
      <c r="O822" s="38"/>
      <c r="P822" s="38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570" t="s">
        <v>326</v>
      </c>
      <c r="C823" s="569"/>
      <c r="D823" s="568"/>
      <c r="E823" s="569"/>
      <c r="F823" s="569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"),1111890.94)</f>
        <v>1111890.94</v>
      </c>
      <c r="K823" s="38">
        <f t="shared" ca="1" si="379"/>
        <v>0.72181419225692078</v>
      </c>
      <c r="L823" s="38"/>
      <c r="M823" s="38"/>
      <c r="N823" s="38"/>
      <c r="O823" s="38"/>
      <c r="P823" s="38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569"/>
      <c r="C824" s="569"/>
      <c r="D824" s="568"/>
      <c r="E824" s="569"/>
      <c r="F824" s="569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"),198)</f>
        <v>198</v>
      </c>
      <c r="K824" s="38">
        <f t="shared" ca="1" si="379"/>
        <v>2.7123287671232879</v>
      </c>
      <c r="L824" s="38"/>
      <c r="M824" s="38"/>
      <c r="N824" s="38"/>
      <c r="O824" s="38"/>
      <c r="P824" s="38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570" t="s">
        <v>327</v>
      </c>
      <c r="C825" s="569"/>
      <c r="D825" s="568"/>
      <c r="E825" s="569"/>
      <c r="F825" s="569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"),9164986.47)</f>
        <v>9164986.4700000007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"),945334.94)</f>
        <v>945334.94</v>
      </c>
      <c r="K825" s="38">
        <f t="shared" ca="1" si="379"/>
        <v>10.314635412658715</v>
      </c>
      <c r="L825" s="38"/>
      <c r="M825" s="38"/>
      <c r="N825" s="38"/>
      <c r="O825" s="38"/>
      <c r="P825" s="38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569"/>
      <c r="C826" s="569"/>
      <c r="D826" s="568"/>
      <c r="E826" s="569"/>
      <c r="F826" s="569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"),1048)</f>
        <v>1048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"),193)</f>
        <v>193</v>
      </c>
      <c r="K826" s="38">
        <f t="shared" ca="1" si="379"/>
        <v>18.416030534351144</v>
      </c>
      <c r="L826" s="38"/>
      <c r="M826" s="38"/>
      <c r="N826" s="38"/>
      <c r="O826" s="38"/>
      <c r="P826" s="38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570" t="s">
        <v>328</v>
      </c>
      <c r="C827" s="569"/>
      <c r="D827" s="568"/>
      <c r="E827" s="569"/>
      <c r="F827" s="569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"),0)</f>
        <v>0</v>
      </c>
      <c r="K827" s="38">
        <f t="shared" ca="1" si="379"/>
        <v>0</v>
      </c>
      <c r="L827" s="38"/>
      <c r="M827" s="38"/>
      <c r="N827" s="38"/>
      <c r="O827" s="38"/>
      <c r="P827" s="38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499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"),550)</f>
        <v>550</v>
      </c>
      <c r="K828" s="500">
        <f t="shared" ca="1" si="379"/>
        <v>10.623913463395789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5AFE0-DFE2-4F74-9D94-EF665535FA2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344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6636341</v>
      </c>
      <c r="M8" s="21">
        <f t="shared" ca="1" si="0"/>
        <v>2692697</v>
      </c>
      <c r="N8" s="21">
        <f t="shared" ca="1" si="0"/>
        <v>1896006.05</v>
      </c>
      <c r="O8" s="21">
        <f t="shared" ref="O8:O16" ca="1" si="1">IF(L8&gt;0,N8*100/L8,0)</f>
        <v>28.57005162935419</v>
      </c>
      <c r="P8" s="21">
        <f t="shared" ref="P8:P16" ca="1" si="2">IF(M8&gt;0,N8*100/M8,0)</f>
        <v>70.412900151780903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6636341</v>
      </c>
      <c r="M10" s="30">
        <f t="shared" ca="1" si="3"/>
        <v>2692697</v>
      </c>
      <c r="N10" s="30">
        <f t="shared" ca="1" si="3"/>
        <v>1896006.05</v>
      </c>
      <c r="O10" s="30">
        <f t="shared" ca="1" si="1"/>
        <v>28.57005162935419</v>
      </c>
      <c r="P10" s="30">
        <f t="shared" ca="1" si="2"/>
        <v>70.412900151780903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5531741</v>
      </c>
      <c r="M11" s="496">
        <f t="shared" ca="1" si="4"/>
        <v>1588097</v>
      </c>
      <c r="N11" s="496">
        <f t="shared" ca="1" si="4"/>
        <v>901406.05</v>
      </c>
      <c r="O11" s="496">
        <f t="shared" ca="1" si="1"/>
        <v>16.295160059012161</v>
      </c>
      <c r="P11" s="496">
        <f t="shared" ca="1" si="2"/>
        <v>56.760138077208133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5531741</v>
      </c>
      <c r="M13" s="93">
        <f t="shared" ca="1" si="5"/>
        <v>1588097</v>
      </c>
      <c r="N13" s="93">
        <f t="shared" ca="1" si="5"/>
        <v>901406.05</v>
      </c>
      <c r="O13" s="93">
        <f t="shared" ca="1" si="1"/>
        <v>16.295160059012161</v>
      </c>
      <c r="P13" s="93">
        <f t="shared" ca="1" si="2"/>
        <v>56.760138077208133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1104600</v>
      </c>
      <c r="M14" s="496">
        <f t="shared" ca="1" si="6"/>
        <v>1104600</v>
      </c>
      <c r="N14" s="496">
        <f t="shared" ca="1" si="6"/>
        <v>994600</v>
      </c>
      <c r="O14" s="496">
        <f t="shared" ca="1" si="1"/>
        <v>90.041644034039464</v>
      </c>
      <c r="P14" s="496">
        <f t="shared" ca="1" si="2"/>
        <v>90.041644034039464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1104600</v>
      </c>
      <c r="N16" s="52">
        <f t="shared" ca="1" si="7"/>
        <v>994600</v>
      </c>
      <c r="O16" s="52">
        <f t="shared" ca="1" si="1"/>
        <v>90.041644034039464</v>
      </c>
      <c r="P16" s="52">
        <f t="shared" ca="1" si="2"/>
        <v>90.041644034039464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4267682</v>
      </c>
      <c r="M18" s="21">
        <f t="shared" ca="1" si="8"/>
        <v>2692697</v>
      </c>
      <c r="N18" s="21">
        <f t="shared" ca="1" si="8"/>
        <v>1569747.05</v>
      </c>
      <c r="O18" s="21">
        <f t="shared" ref="O18:O26" ca="1" si="9">IF(L18&gt;0,N18*100/L18,0)</f>
        <v>36.782193471772267</v>
      </c>
      <c r="P18" s="21">
        <f t="shared" ref="P18:P26" ca="1" si="10">IF(M18&gt;0,N18*100/M18,0)</f>
        <v>58.296460760345482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2692697</v>
      </c>
      <c r="N20" s="30">
        <f t="shared" ca="1" si="11"/>
        <v>1569747.05</v>
      </c>
      <c r="O20" s="30">
        <f t="shared" ca="1" si="9"/>
        <v>36.782193471772267</v>
      </c>
      <c r="P20" s="30">
        <f t="shared" ca="1" si="10"/>
        <v>58.296460760345482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3163082</v>
      </c>
      <c r="M21" s="496">
        <f t="shared" ca="1" si="12"/>
        <v>1588097</v>
      </c>
      <c r="N21" s="496">
        <f t="shared" ca="1" si="12"/>
        <v>575147.05000000005</v>
      </c>
      <c r="O21" s="496">
        <f t="shared" ca="1" si="9"/>
        <v>18.183121714833828</v>
      </c>
      <c r="P21" s="496">
        <f t="shared" ca="1" si="10"/>
        <v>36.216115892165284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3163082</v>
      </c>
      <c r="M23" s="93">
        <f t="shared" ca="1" si="13"/>
        <v>1588097</v>
      </c>
      <c r="N23" s="93">
        <f t="shared" ca="1" si="13"/>
        <v>575147.05000000005</v>
      </c>
      <c r="O23" s="93">
        <f t="shared" ca="1" si="9"/>
        <v>18.183121714833828</v>
      </c>
      <c r="P23" s="93">
        <f t="shared" ca="1" si="10"/>
        <v>36.216115892165284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1104600</v>
      </c>
      <c r="M24" s="496">
        <f t="shared" ca="1" si="14"/>
        <v>1104600</v>
      </c>
      <c r="N24" s="496">
        <f t="shared" ca="1" si="14"/>
        <v>994600</v>
      </c>
      <c r="O24" s="496">
        <f t="shared" ca="1" si="9"/>
        <v>90.041644034039464</v>
      </c>
      <c r="P24" s="496">
        <f t="shared" ca="1" si="10"/>
        <v>90.041644034039464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1104600</v>
      </c>
      <c r="N26" s="52">
        <f t="shared" ca="1" si="15"/>
        <v>994600</v>
      </c>
      <c r="O26" s="52">
        <f t="shared" ca="1" si="9"/>
        <v>90.041644034039464</v>
      </c>
      <c r="P26" s="52">
        <f t="shared" ca="1" si="10"/>
        <v>90.041644034039464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2368659</v>
      </c>
      <c r="M28" s="21">
        <f t="shared" si="16"/>
        <v>0</v>
      </c>
      <c r="N28" s="21">
        <f t="shared" si="16"/>
        <v>326259</v>
      </c>
      <c r="O28" s="21">
        <f t="shared" ref="O28:O37" ca="1" si="17">IF(L28&gt;0,N28*100/L28,0)</f>
        <v>13.773996172517867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2368659</v>
      </c>
      <c r="M30" s="30">
        <f t="shared" si="19"/>
        <v>0</v>
      </c>
      <c r="N30" s="30">
        <f t="shared" si="19"/>
        <v>326259</v>
      </c>
      <c r="O30" s="30">
        <f t="shared" ca="1" si="17"/>
        <v>13.773996172517867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2368659</v>
      </c>
      <c r="M31" s="496">
        <f t="shared" si="20"/>
        <v>0</v>
      </c>
      <c r="N31" s="496">
        <f t="shared" si="20"/>
        <v>326259</v>
      </c>
      <c r="O31" s="496">
        <f t="shared" ca="1" si="17"/>
        <v>13.773996172517867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2368659</v>
      </c>
      <c r="M33" s="93">
        <f t="shared" si="21"/>
        <v>0</v>
      </c>
      <c r="N33" s="93">
        <f t="shared" si="21"/>
        <v>326259</v>
      </c>
      <c r="O33" s="93">
        <f t="shared" ca="1" si="17"/>
        <v>13.773996172517867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4267682</v>
      </c>
      <c r="M37" s="59">
        <f t="shared" ca="1" si="24"/>
        <v>2692697</v>
      </c>
      <c r="N37" s="59">
        <f t="shared" ca="1" si="24"/>
        <v>1569747.05</v>
      </c>
      <c r="O37" s="59">
        <f t="shared" ca="1" si="17"/>
        <v>36.782193471772267</v>
      </c>
      <c r="P37" s="59">
        <f t="shared" ca="1" si="18"/>
        <v>58.296460760345482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439342</v>
      </c>
      <c r="M41" s="84">
        <f t="shared" ca="1" si="25"/>
        <v>220292</v>
      </c>
      <c r="N41" s="84">
        <f t="shared" ca="1" si="25"/>
        <v>88055</v>
      </c>
      <c r="O41" s="84">
        <f t="shared" ref="O41:O49" ca="1" si="26">IF(L41&gt;0,N41*100/L41,0)</f>
        <v>20.04247260676193</v>
      </c>
      <c r="P41" s="84">
        <f t="shared" ref="P41:P49" ca="1" si="27">IF(M41&gt;0,N41*100/M41,0)</f>
        <v>39.971946325785773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220292</v>
      </c>
      <c r="N43" s="92">
        <f t="shared" ca="1" si="28"/>
        <v>88055</v>
      </c>
      <c r="O43" s="92">
        <f t="shared" ca="1" si="26"/>
        <v>20.04247260676193</v>
      </c>
      <c r="P43" s="92">
        <f t="shared" ca="1" si="27"/>
        <v>39.971946325785773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439342</v>
      </c>
      <c r="M44" s="496">
        <f t="shared" ca="1" si="29"/>
        <v>220292</v>
      </c>
      <c r="N44" s="496">
        <f t="shared" ca="1" si="29"/>
        <v>88055</v>
      </c>
      <c r="O44" s="496">
        <f t="shared" ca="1" si="26"/>
        <v>20.04247260676193</v>
      </c>
      <c r="P44" s="496">
        <f t="shared" ca="1" si="27"/>
        <v>39.971946325785773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IFERROR(__xludf.DUMMYFUNCTION("IMPORTRANGE(""https://docs.google.com/spreadsheets/d/1MeEWN-I1oV_STSDYn1IFDPWt_1FKiwhDph83XaGc0o0/edit?usp=sharing"",""งบพรบ!R40"")"),220292)</f>
        <v>220292</v>
      </c>
      <c r="N46" s="93">
        <f ca="1">IFERROR(__xludf.DUMMYFUNCTION("IMPORTRANGE(""https://docs.google.com/spreadsheets/d/1MeEWN-I1oV_STSDYn1IFDPWt_1FKiwhDph83XaGc0o0/edit?usp=sharing"",""งบพรบ!T40"")"),88055)</f>
        <v>88055</v>
      </c>
      <c r="O46" s="93">
        <f t="shared" ca="1" si="26"/>
        <v>20.04247260676193</v>
      </c>
      <c r="P46" s="93">
        <f t="shared" ca="1" si="27"/>
        <v>39.971946325785773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696600</v>
      </c>
      <c r="M53" s="115">
        <f t="shared" ca="1" si="31"/>
        <v>348300</v>
      </c>
      <c r="N53" s="115">
        <f t="shared" ca="1" si="31"/>
        <v>205922.05</v>
      </c>
      <c r="O53" s="115">
        <f t="shared" ref="O53:O61" ca="1" si="32">IF(L53&gt;0,N53*100/L53,0)</f>
        <v>29.561017800746484</v>
      </c>
      <c r="P53" s="115">
        <f t="shared" ref="P53:P61" ca="1" si="33">IF(M53&gt;0,N53*100/M53,0)</f>
        <v>59.122035601492968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348300</v>
      </c>
      <c r="N55" s="123">
        <f t="shared" ca="1" si="34"/>
        <v>205922.05</v>
      </c>
      <c r="O55" s="123">
        <f t="shared" ca="1" si="32"/>
        <v>29.561017800746484</v>
      </c>
      <c r="P55" s="123">
        <f t="shared" ca="1" si="33"/>
        <v>59.122035601492968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696600</v>
      </c>
      <c r="M56" s="496">
        <f t="shared" ca="1" si="35"/>
        <v>348300</v>
      </c>
      <c r="N56" s="496">
        <f t="shared" ca="1" si="35"/>
        <v>205922.05</v>
      </c>
      <c r="O56" s="496">
        <f t="shared" ca="1" si="32"/>
        <v>29.561017800746484</v>
      </c>
      <c r="P56" s="496">
        <f t="shared" ca="1" si="33"/>
        <v>59.122035601492968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IFERROR(__xludf.DUMMYFUNCTION("IMPORTRANGE(""https://docs.google.com/spreadsheets/d/1MeEWN-I1oV_STSDYn1IFDPWt_1FKiwhDph83XaGc0o0/edit?usp=sharing"",""งบพรบ!AB40"")"),348300)</f>
        <v>348300</v>
      </c>
      <c r="N58" s="93">
        <f ca="1">IFERROR(__xludf.DUMMYFUNCTION("IMPORTRANGE(""https://docs.google.com/spreadsheets/d/1MeEWN-I1oV_STSDYn1IFDPWt_1FKiwhDph83XaGc0o0/edit?usp=sharing"",""งบพรบ!AD40"")"),205922.05)</f>
        <v>205922.05</v>
      </c>
      <c r="O58" s="93">
        <f t="shared" ca="1" si="32"/>
        <v>29.561017800746484</v>
      </c>
      <c r="P58" s="93">
        <f t="shared" ca="1" si="33"/>
        <v>59.122035601492968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920900</v>
      </c>
      <c r="M66" s="155">
        <f t="shared" ca="1" si="39"/>
        <v>446950</v>
      </c>
      <c r="N66" s="155">
        <f t="shared" ca="1" si="39"/>
        <v>106849</v>
      </c>
      <c r="O66" s="155">
        <f t="shared" ref="O66:O74" ca="1" si="40">IF(L66&gt;0,N66*100/L66,0)</f>
        <v>11.602671299815398</v>
      </c>
      <c r="P66" s="155">
        <f t="shared" ref="P66:P74" ca="1" si="41">IF(M66&gt;0,N66*100/M66,0)</f>
        <v>23.906253495916769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920900</v>
      </c>
      <c r="M68" s="93">
        <f t="shared" ca="1" si="42"/>
        <v>446950</v>
      </c>
      <c r="N68" s="93">
        <f t="shared" ca="1" si="42"/>
        <v>106849</v>
      </c>
      <c r="O68" s="93">
        <f t="shared" ca="1" si="40"/>
        <v>11.602671299815398</v>
      </c>
      <c r="P68" s="93">
        <f t="shared" ca="1" si="41"/>
        <v>23.906253495916769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920900</v>
      </c>
      <c r="M69" s="496">
        <f t="shared" ca="1" si="43"/>
        <v>446950</v>
      </c>
      <c r="N69" s="496">
        <f t="shared" ca="1" si="43"/>
        <v>106849</v>
      </c>
      <c r="O69" s="496">
        <f t="shared" ca="1" si="40"/>
        <v>11.602671299815398</v>
      </c>
      <c r="P69" s="496">
        <f t="shared" ca="1" si="41"/>
        <v>23.906253495916769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IFERROR(__xludf.DUMMYFUNCTION("IMPORTRANGE(""https://docs.google.com/spreadsheets/d/1MeEWN-I1oV_STSDYn1IFDPWt_1FKiwhDph83XaGc0o0/edit?usp=sharing"",""งบพรบ!AL40"")"),446950)</f>
        <v>446950</v>
      </c>
      <c r="N71" s="93">
        <f ca="1">IFERROR(__xludf.DUMMYFUNCTION("IMPORTRANGE(""https://docs.google.com/spreadsheets/d/1MeEWN-I1oV_STSDYn1IFDPWt_1FKiwhDph83XaGc0o0/edit?usp=sharing"",""งบพรบ!AN40"")"),106849)</f>
        <v>106849</v>
      </c>
      <c r="O71" s="93">
        <f t="shared" ca="1" si="40"/>
        <v>11.602671299815398</v>
      </c>
      <c r="P71" s="93">
        <f t="shared" ca="1" si="41"/>
        <v>23.906253495916769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30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86340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86340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86340</v>
      </c>
      <c r="M91" s="496">
        <f t="shared" ca="1" si="53"/>
        <v>21840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IFERROR(__xludf.DUMMYFUNCTION("IMPORTRANGE(""https://docs.google.com/spreadsheets/d/1MeEWN-I1oV_STSDYn1IFDPWt_1FKiwhDph83XaGc0o0/edit?usp=sharing"",""งบพรบ!AV40"")"),21840)</f>
        <v>21840</v>
      </c>
      <c r="N93" s="93">
        <f ca="1">IFERROR(__xludf.DUMMYFUNCTION("IMPORTRANGE(""https://docs.google.com/spreadsheets/d/1MeEWN-I1oV_STSDYn1IFDPWt_1FKiwhDph83XaGc0o0/edit?usp=sharing"",""งบพรบ!AX40"")"),0)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IFERROR(__xludf.DUMMYFUNCTION("IMPORTRANGE(""https://docs.google.com/spreadsheets/d/1QqKyyYR6Q21VydFLVH3TRQUabQu_ym0Zz7PgGX0-kHA/edit?usp=sharing"",""แผน!K40"")"),30)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IFERROR(__xludf.DUMMYFUNCTION("IMPORTRANGE(""https://docs.google.com/spreadsheets/d/1QqKyyYR6Q21VydFLVH3TRQUabQu_ym0Zz7PgGX0-kHA/edit?usp=sharing"",""แผน!L40"")"),10)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IFERROR(__xludf.DUMMYFUNCTION("IMPORTRANGE(""https://docs.google.com/spreadsheets/d/1QqKyyYR6Q21VydFLVH3TRQUabQu_ym0Zz7PgGX0-kHA/edit?usp=sharing"",""แผน!M40"")"),2)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IFERROR(__xludf.DUMMYFUNCTION("IMPORTRANGE(""https://docs.google.com/spreadsheets/d/1QqKyyYR6Q21VydFLVH3TRQUabQu_ym0Zz7PgGX0-kHA/edit?usp=sharing"",""แผน!N40"")"),30)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IFERROR(__xludf.DUMMYFUNCTION("IMPORTRANGE(""https://docs.google.com/spreadsheets/d/1QqKyyYR6Q21VydFLVH3TRQUabQu_ym0Zz7PgGX0-kHA/edit?usp=sharing"",""แผน!O40"")"),10)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IFERROR(__xludf.DUMMYFUNCTION("IMPORTRANGE(""https://docs.google.com/spreadsheets/d/1QqKyyYR6Q21VydFLVH3TRQUabQu_ym0Zz7PgGX0-kHA/edit?usp=sharing"",""แผน!O40"")"),10)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IFERROR(__xludf.DUMMYFUNCTION("IMPORTRANGE(""https://docs.google.com/spreadsheets/d/1QqKyyYR6Q21VydFLVH3TRQUabQu_ym0Zz7PgGX0-kHA/edit?usp=sharing"",""แผน!P40"")"),1)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IFERROR(__xludf.DUMMYFUNCTION("IMPORTRANGE(""https://docs.google.com/spreadsheets/d/1QqKyyYR6Q21VydFLVH3TRQUabQu_ym0Zz7PgGX0-kHA/edit?usp=sharing"",""แผน!P40"")"),1)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IFERROR(__xludf.DUMMYFUNCTION("IMPORTRANGE(""https://docs.google.com/spreadsheets/d/1QqKyyYR6Q21VydFLVH3TRQUabQu_ym0Zz7PgGX0-kHA/edit?usp=sharing"",""แผน!Q40"")"),1)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IFERROR(__xludf.DUMMYFUNCTION("IMPORTRANGE(""https://docs.google.com/spreadsheets/d/1QqKyyYR6Q21VydFLVH3TRQUabQu_ym0Zz7PgGX0-kHA/edit?usp=sharing"",""แผน!Q40"")"),1)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133600</v>
      </c>
      <c r="O132" s="155">
        <f t="shared" ref="O132:O140" ca="1" si="70">IF(L132&gt;0,N132*100/L132,0)</f>
        <v>88.094688602419964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133600</v>
      </c>
      <c r="O134" s="93">
        <f t="shared" ca="1" si="70"/>
        <v>88.094688602419964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48655</v>
      </c>
      <c r="M135" s="496">
        <f t="shared" ca="1" si="73"/>
        <v>30600</v>
      </c>
      <c r="N135" s="496">
        <f t="shared" ca="1" si="73"/>
        <v>30600</v>
      </c>
      <c r="O135" s="496">
        <f t="shared" ca="1" si="70"/>
        <v>62.891789127530572</v>
      </c>
      <c r="P135" s="496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IFERROR(__xludf.DUMMYFUNCTION("IMPORTRANGE(""https://docs.google.com/spreadsheets/d/1MeEWN-I1oV_STSDYn1IFDPWt_1FKiwhDph83XaGc0o0/edit?usp=sharing"",""งบพรบ!BP40"")"),30600)</f>
        <v>30600</v>
      </c>
      <c r="N137" s="93">
        <f ca="1">IFERROR(__xludf.DUMMYFUNCTION("IMPORTRANGE(""https://docs.google.com/spreadsheets/d/1MeEWN-I1oV_STSDYn1IFDPWt_1FKiwhDph83XaGc0o0/edit?usp=sharing"",""งบพรบ!BR40"")"),30600)</f>
        <v>30600</v>
      </c>
      <c r="O137" s="93">
        <f t="shared" ca="1" si="70"/>
        <v>62.891789127530572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103000</v>
      </c>
      <c r="M138" s="496">
        <f t="shared" ca="1" si="74"/>
        <v>103000</v>
      </c>
      <c r="N138" s="496">
        <f t="shared" ca="1" si="74"/>
        <v>103000</v>
      </c>
      <c r="O138" s="496">
        <f t="shared" ca="1" si="70"/>
        <v>100</v>
      </c>
      <c r="P138" s="49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IFERROR(__xludf.DUMMYFUNCTION("IMPORTRANGE(""https://docs.google.com/spreadsheets/d/1QqKyyYR6Q21VydFLVH3TRQUabQu_ym0Zz7PgGX0-kHA/edit?usp=sharing"",""แผน!U40"")"),5)</f>
        <v>5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IFERROR(__xludf.DUMMYFUNCTION("IMPORTRANGE(""https://docs.google.com/spreadsheets/d/1QqKyyYR6Q21VydFLVH3TRQUabQu_ym0Zz7PgGX0-kHA/edit?usp=sharing"",""แผน!V40"")"),10)</f>
        <v>10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IFERROR(__xludf.DUMMYFUNCTION("IMPORTRANGE(""https://docs.google.com/spreadsheets/d/1QqKyyYR6Q21VydFLVH3TRQUabQu_ym0Zz7PgGX0-kHA/edit?usp=sharing"",""แผน!W40"")"),1)</f>
        <v>1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IFERROR(__xludf.DUMMYFUNCTION("IMPORTRANGE(""https://docs.google.com/spreadsheets/d/1QqKyyYR6Q21VydFLVH3TRQUabQu_ym0Zz7PgGX0-kHA/edit?usp=sharing"",""แผน!X40"")"),0)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11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22055</v>
      </c>
      <c r="M165" s="154">
        <f t="shared" ca="1" si="84"/>
        <v>22055</v>
      </c>
      <c r="N165" s="154">
        <f t="shared" ca="1" si="84"/>
        <v>22055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22055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IFERROR(__xludf.DUMMYFUNCTION("IMPORTRANGE(""https://docs.google.com/spreadsheets/d/1MeEWN-I1oV_STSDYn1IFDPWt_1FKiwhDph83XaGc0o0/edit?usp=sharing"",""งบพรบ!CJ40"")"),22055)</f>
        <v>22055</v>
      </c>
      <c r="N170" s="93">
        <f ca="1">IFERROR(__xludf.DUMMYFUNCTION("IMPORTRANGE(""https://docs.google.com/spreadsheets/d/1MeEWN-I1oV_STSDYn1IFDPWt_1FKiwhDph83XaGc0o0/edit?usp=sharing"",""งบพรบ!CL40"")"),22055)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IFERROR(__xludf.DUMMYFUNCTION("IMPORTRANGE(""https://docs.google.com/spreadsheets/d/1QqKyyYR6Q21VydFLVH3TRQUabQu_ym0Zz7PgGX0-kHA/edit?usp=sharing"",""แผน!Y40"")"),11)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1">L182+L183</f>
        <v>84000</v>
      </c>
      <c r="M181" s="154">
        <f t="shared" ca="1" si="91"/>
        <v>49000</v>
      </c>
      <c r="N181" s="154">
        <f t="shared" ca="1" si="91"/>
        <v>0</v>
      </c>
      <c r="O181" s="154">
        <f t="shared" ref="O181:O189" ca="1" si="92">IF(L181&gt;0,N181*100/L181,0)</f>
        <v>0</v>
      </c>
      <c r="P181" s="154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84000</v>
      </c>
      <c r="M183" s="93">
        <f t="shared" ca="1" si="94"/>
        <v>49000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84000</v>
      </c>
      <c r="M184" s="496">
        <f t="shared" ca="1" si="95"/>
        <v>49000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IFERROR(__xludf.DUMMYFUNCTION("IMPORTRANGE(""https://docs.google.com/spreadsheets/d/1MeEWN-I1oV_STSDYn1IFDPWt_1FKiwhDph83XaGc0o0/edit?usp=sharing"",""งบพรบ!CT40"")"),49000)</f>
        <v>49000</v>
      </c>
      <c r="N186" s="93">
        <f ca="1">IFERROR(__xludf.DUMMYFUNCTION("IMPORTRANGE(""https://docs.google.com/spreadsheets/d/1MeEWN-I1oV_STSDYn1IFDPWt_1FKiwhDph83XaGc0o0/edit?usp=sharing"",""งบพรบ!CV40"")"),0)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IFERROR(__xludf.DUMMYFUNCTION("IMPORTRANGE(""https://docs.google.com/spreadsheets/d/1QqKyyYR6Q21VydFLVH3TRQUabQu_ym0Zz7PgGX0-kHA/edit?usp=sharing"",""แผน!AC40"")"),4)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IFERROR(__xludf.DUMMYFUNCTION("IMPORTRANGE(""https://docs.google.com/spreadsheets/d/1QqKyyYR6Q21VydFLVH3TRQUabQu_ym0Zz7PgGX0-kHA/edit?usp=sharing"",""แผน!AE40"")"),3000)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IFERROR(__xludf.DUMMYFUNCTION("IMPORTRANGE(""https://docs.google.com/spreadsheets/d/1QqKyyYR6Q21VydFLVH3TRQUabQu_ym0Zz7PgGX0-kHA/edit?usp=sharing"",""แผน!AF40"")"),24000)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IFERROR(__xludf.DUMMYFUNCTION("IMPORTRANGE(""https://docs.google.com/spreadsheets/d/1QqKyyYR6Q21VydFLVH3TRQUabQu_ym0Zz7PgGX0-kHA/edit?usp=sharing"",""แผน!AG40"")"),12000)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IFERROR(__xludf.DUMMYFUNCTION("IMPORTRANGE(""https://docs.google.com/spreadsheets/d/1QqKyyYR6Q21VydFLVH3TRQUabQu_ym0Zz7PgGX0-kHA/edit?usp=sharing"",""แผน!AH40"")"),0)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IFERROR(__xludf.DUMMYFUNCTION("IMPORTRANGE(""https://docs.google.com/spreadsheets/d/1QqKyyYR6Q21VydFLVH3TRQUabQu_ym0Zz7PgGX0-kHA/edit?usp=sharing"",""แผน!AI40"")"),3)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1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IFERROR(__xludf.DUMMYFUNCTION("IMPORTRANGE(""https://docs.google.com/spreadsheets/d/1QqKyyYR6Q21VydFLVH3TRQUabQu_ym0Zz7PgGX0-kHA/edit?usp=sharing"",""แผน!AK40"")"),1000)</f>
        <v>1000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IFERROR(__xludf.DUMMYFUNCTION("IMPORTRANGE(""https://docs.google.com/spreadsheets/d/1QqKyyYR6Q21VydFLVH3TRQUabQu_ym0Zz7PgGX0-kHA/edit?usp=sharing"",""แผน!AL40"")"),5000)</f>
        <v>5000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IFERROR(__xludf.DUMMYFUNCTION("IMPORTRANGE(""https://docs.google.com/spreadsheets/d/1QqKyyYR6Q21VydFLVH3TRQUabQu_ym0Zz7PgGX0-kHA/edit?usp=sharing"",""แผน!AM40"")"),8000)</f>
        <v>8000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IFERROR(__xludf.DUMMYFUNCTION("IMPORTRANGE(""https://docs.google.com/spreadsheets/d/1QqKyyYR6Q21VydFLVH3TRQUabQu_ym0Zz7PgGX0-kHA/edit?usp=sharing"",""แผน!AN40"")"),1)</f>
        <v>1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IFERROR(__xludf.DUMMYFUNCTION("IMPORTRANGE(""https://docs.google.com/spreadsheets/d/1QqKyyYR6Q21VydFLVH3TRQUabQu_ym0Zz7PgGX0-kHA/edit?usp=sharing"",""แผน!AN40"")"),1)</f>
        <v>1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40000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25000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IFERROR(__xludf.DUMMYFUNCTION("IMPORTRANGE(""https://docs.google.com/spreadsheets/d/1QqKyyYR6Q21VydFLVH3TRQUabQu_ym0Zz7PgGX0-kHA/edit?usp=sharing"",""แผน!AP40"")"),5000)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IFERROR(__xludf.DUMMYFUNCTION("IMPORTRANGE(""https://docs.google.com/spreadsheets/d/1QqKyyYR6Q21VydFLVH3TRQUabQu_ym0Zz7PgGX0-kHA/edit?usp=sharing"",""แผน!AQ40"")"),10000)</f>
        <v>10000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IFERROR(__xludf.DUMMYFUNCTION("IMPORTRANGE(""https://docs.google.com/spreadsheets/d/1QqKyyYR6Q21VydFLVH3TRQUabQu_ym0Zz7PgGX0-kHA/edit?usp=sharing"",""แผน!AR40"")"),10000)</f>
        <v>10000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IFERROR(__xludf.DUMMYFUNCTION("IMPORTRANGE(""https://docs.google.com/spreadsheets/d/1QqKyyYR6Q21VydFLVH3TRQUabQu_ym0Zz7PgGX0-kHA/edit?usp=sharing"",""แผน!AT40"")"),40000)</f>
        <v>40000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IFERROR(__xludf.DUMMYFUNCTION("IMPORTRANGE(""https://docs.google.com/spreadsheets/d/1QqKyyYR6Q21VydFLVH3TRQUabQu_ym0Zz7PgGX0-kHA/edit?usp=sharing"",""แผน!AT40"")"),40000)</f>
        <v>40000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IFERROR(__xludf.DUMMYFUNCTION("IMPORTRANGE(""https://docs.google.com/spreadsheets/d/1QqKyyYR6Q21VydFLVH3TRQUabQu_ym0Zz7PgGX0-kHA/edit?usp=sharing"",""แผน!AS40"")"),10)</f>
        <v>10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IFERROR(__xludf.DUMMYFUNCTION("IMPORTRANGE(""https://docs.google.com/spreadsheets/d/1QqKyyYR6Q21VydFLVH3TRQUabQu_ym0Zz7PgGX0-kHA/edit?usp=sharing"",""แผน!AV40"")"),0)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IFERROR(__xludf.DUMMYFUNCTION("IMPORTRANGE(""https://docs.google.com/spreadsheets/d/1QqKyyYR6Q21VydFLVH3TRQUabQu_ym0Zz7PgGX0-kHA/edit?usp=sharing"",""แผน!AW40"")"),0)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IFERROR(__xludf.DUMMYFUNCTION("IMPORTRANGE(""https://docs.google.com/spreadsheets/d/1QqKyyYR6Q21VydFLVH3TRQUabQu_ym0Zz7PgGX0-kHA/edit?usp=sharing"",""แผน!AX40"")"),0)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IFERROR(__xludf.DUMMYFUNCTION("IMPORTRANGE(""https://docs.google.com/spreadsheets/d/1QqKyyYR6Q21VydFLVH3TRQUabQu_ym0Zz7PgGX0-kHA/edit?usp=sharing"",""แผน!AY40"")"),0)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IFERROR(__xludf.DUMMYFUNCTION("IMPORTRANGE(""https://docs.google.com/spreadsheets/d/1QqKyyYR6Q21VydFLVH3TRQUabQu_ym0Zz7PgGX0-kHA/edit?usp=sharing"",""แผน!BE40"")"),0)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IFERROR(__xludf.DUMMYFUNCTION("IMPORTRANGE(""https://docs.google.com/spreadsheets/d/1QqKyyYR6Q21VydFLVH3TRQUabQu_ym0Zz7PgGX0-kHA/edit?usp=sharing"",""แผน!AZ40"")"),0)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IFERROR(__xludf.DUMMYFUNCTION("IMPORTRANGE(""https://docs.google.com/spreadsheets/d/1QqKyyYR6Q21VydFLVH3TRQUabQu_ym0Zz7PgGX0-kHA/edit?usp=sharing"",""แผน!BA40"")"),0)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IFERROR(__xludf.DUMMYFUNCTION("IMPORTRANGE(""https://docs.google.com/spreadsheets/d/1QqKyyYR6Q21VydFLVH3TRQUabQu_ym0Zz7PgGX0-kHA/edit?usp=sharing"",""แผน!BB40"")"),0)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IFERROR(__xludf.DUMMYFUNCTION("IMPORTRANGE(""https://docs.google.com/spreadsheets/d/1QqKyyYR6Q21VydFLVH3TRQUabQu_ym0Zz7PgGX0-kHA/edit?usp=sharing"",""แผน!BC40"")"),0)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IFERROR(__xludf.DUMMYFUNCTION("IMPORTRANGE(""https://docs.google.com/spreadsheets/d/1QqKyyYR6Q21VydFLVH3TRQUabQu_ym0Zz7PgGX0-kHA/edit?usp=sharing"",""แผน!BF40"")"),0)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23900</v>
      </c>
      <c r="O261" s="155">
        <f t="shared" ref="O261:O269" ca="1" si="116">IF(L261&gt;0,N261*100/L261,0)</f>
        <v>88.847583643122675</v>
      </c>
      <c r="P261" s="155">
        <f t="shared" ref="P261:P269" ca="1" si="117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23900</v>
      </c>
      <c r="O263" s="93">
        <f t="shared" ca="1" si="116"/>
        <v>88.847583643122675</v>
      </c>
      <c r="P263" s="93">
        <f t="shared" ca="1" si="117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23900</v>
      </c>
      <c r="N264" s="496">
        <f t="shared" ca="1" si="119"/>
        <v>23900</v>
      </c>
      <c r="O264" s="496">
        <f t="shared" ca="1" si="116"/>
        <v>88.847583643122675</v>
      </c>
      <c r="P264" s="496">
        <f t="shared" ca="1" si="117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IFERROR(__xludf.DUMMYFUNCTION("IMPORTRANGE(""https://docs.google.com/spreadsheets/d/1MeEWN-I1oV_STSDYn1IFDPWt_1FKiwhDph83XaGc0o0/edit?usp=sharing"",""งบพรบ!DD40"")"),23900)</f>
        <v>23900</v>
      </c>
      <c r="N266" s="93">
        <f ca="1">IFERROR(__xludf.DUMMYFUNCTION("IMPORTRANGE(""https://docs.google.com/spreadsheets/d/1MeEWN-I1oV_STSDYn1IFDPWt_1FKiwhDph83XaGc0o0/edit?usp=sharing"",""งบพรบ!DF40"")"),23900)</f>
        <v>23900</v>
      </c>
      <c r="O266" s="93">
        <f t="shared" ca="1" si="116"/>
        <v>88.847583643122675</v>
      </c>
      <c r="P266" s="93">
        <f t="shared" ca="1" si="117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IFERROR(__xludf.DUMMYFUNCTION("IMPORTRANGE(""https://docs.google.com/spreadsheets/d/1QqKyyYR6Q21VydFLVH3TRQUabQu_ym0Zz7PgGX0-kHA/edit?usp=sharing"",""แผน!EA40"")"),22)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5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50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22630</v>
      </c>
      <c r="M277" s="155">
        <f t="shared" ca="1" si="124"/>
        <v>9410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22630</v>
      </c>
      <c r="M279" s="93">
        <f t="shared" ca="1" si="127"/>
        <v>9410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22630</v>
      </c>
      <c r="M280" s="496">
        <f t="shared" ca="1" si="128"/>
        <v>9410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IFERROR(__xludf.DUMMYFUNCTION("IMPORTRANGE(""https://docs.google.com/spreadsheets/d/1MeEWN-I1oV_STSDYn1IFDPWt_1FKiwhDph83XaGc0o0/edit?usp=sharing"",""งบพรบ!DN40"")"),9410)</f>
        <v>9410</v>
      </c>
      <c r="N282" s="93">
        <f ca="1">IFERROR(__xludf.DUMMYFUNCTION("IMPORTRANGE(""https://docs.google.com/spreadsheets/d/1MeEWN-I1oV_STSDYn1IFDPWt_1FKiwhDph83XaGc0o0/edit?usp=sharing"",""งบพรบ!DP40"")"),0)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IFERROR(__xludf.DUMMYFUNCTION("IMPORTRANGE(""https://docs.google.com/spreadsheets/d/1QqKyyYR6Q21VydFLVH3TRQUabQu_ym0Zz7PgGX0-kHA/edit?usp=sharing"",""แผน!EC40"")"),50)</f>
        <v>50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IFERROR(__xludf.DUMMYFUNCTION("IMPORTRANGE(""https://docs.google.com/spreadsheets/d/1QqKyyYR6Q21VydFLVH3TRQUabQu_ym0Zz7PgGX0-kHA/edit?usp=sharing"",""แผน!EB40"")"),5)</f>
        <v>5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IFERROR(__xludf.DUMMYFUNCTION("IMPORTRANGE(""https://docs.google.com/spreadsheets/d/1QqKyyYR6Q21VydFLVH3TRQUabQu_ym0Zz7PgGX0-kHA/edit?usp=sharing"",""แผน!EB40"")"),5)</f>
        <v>5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20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82400</v>
      </c>
      <c r="M301" s="496">
        <f t="shared" ca="1" si="138"/>
        <v>49120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IFERROR(__xludf.DUMMYFUNCTION("IMPORTRANGE(""https://docs.google.com/spreadsheets/d/1MeEWN-I1oV_STSDYn1IFDPWt_1FKiwhDph83XaGc0o0/edit?usp=sharing"",""งบพรบ!DX40"")"),49120)</f>
        <v>49120</v>
      </c>
      <c r="N303" s="93">
        <f ca="1">IFERROR(__xludf.DUMMYFUNCTION("IMPORTRANGE(""https://docs.google.com/spreadsheets/d/1MeEWN-I1oV_STSDYn1IFDPWt_1FKiwhDph83XaGc0o0/edit?usp=sharing"",""งบพรบ!DZ40"")"),0)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IFERROR(__xludf.DUMMYFUNCTION("IMPORTRANGE(""https://docs.google.com/spreadsheets/d/1QqKyyYR6Q21VydFLVH3TRQUabQu_ym0Zz7PgGX0-kHA/edit?usp=sharing"",""แผน!ED40"")"),20)</f>
        <v>20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IFERROR(__xludf.DUMMYFUNCTION("IMPORTRANGE(""https://docs.google.com/spreadsheets/d/1QqKyyYR6Q21VydFLVH3TRQUabQu_ym0Zz7PgGX0-kHA/edit?usp=sharing"",""แผน!ED40"")"),20)</f>
        <v>20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IFERROR(__xludf.DUMMYFUNCTION("IMPORTRANGE(""https://docs.google.com/spreadsheets/d/1QqKyyYR6Q21VydFLVH3TRQUabQu_ym0Zz7PgGX0-kHA/edit?usp=sharing"",""แผน!ED40"")"),20)</f>
        <v>20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IFERROR(__xludf.DUMMYFUNCTION("IMPORTRANGE(""https://docs.google.com/spreadsheets/d/1QqKyyYR6Q21VydFLVH3TRQUabQu_ym0Zz7PgGX0-kHA/edit?usp=sharing"",""แผน!EE40"")"),4)</f>
        <v>4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IFERROR(__xludf.DUMMYFUNCTION("IMPORTRANGE(""https://docs.google.com/spreadsheets/d/1QqKyyYR6Q21VydFLVH3TRQUabQu_ym0Zz7PgGX0-kHA/edit?usp=sharing"",""แผน!EF40"")"),0)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IFERROR(__xludf.DUMMYFUNCTION("IMPORTRANGE(""https://docs.google.com/spreadsheets/d/1QqKyyYR6Q21VydFLVH3TRQUabQu_ym0Zz7PgGX0-kHA/edit?usp=sharing"",""แผน!EG40"")"),2300)</f>
        <v>2300</v>
      </c>
      <c r="J327" s="443">
        <f ca="1">J338+J341+J342+J343</f>
        <v>278</v>
      </c>
      <c r="K327" s="444">
        <f ca="1">IF(I327&gt;0,J327*100/I327,0)</f>
        <v>12.086956521739131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1020000</v>
      </c>
      <c r="M328" s="155">
        <f t="shared" ca="1" si="148"/>
        <v>935000</v>
      </c>
      <c r="N328" s="155">
        <f t="shared" ca="1" si="148"/>
        <v>757240</v>
      </c>
      <c r="O328" s="155">
        <f t="shared" ref="O328:O336" ca="1" si="149">IF(L328&gt;0,N328*100/L328,0)</f>
        <v>74.239215686274505</v>
      </c>
      <c r="P328" s="155">
        <f t="shared" ref="P328:P336" ca="1" si="150">IF(M328&gt;0,N328*100/M328,0)</f>
        <v>80.988235294117644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1020000</v>
      </c>
      <c r="M330" s="93">
        <f t="shared" ca="1" si="151"/>
        <v>935000</v>
      </c>
      <c r="N330" s="93">
        <f t="shared" ca="1" si="151"/>
        <v>757240</v>
      </c>
      <c r="O330" s="93">
        <f t="shared" ca="1" si="149"/>
        <v>74.239215686274505</v>
      </c>
      <c r="P330" s="93">
        <f t="shared" ca="1" si="150"/>
        <v>80.988235294117644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170000</v>
      </c>
      <c r="M331" s="496">
        <f t="shared" ca="1" si="152"/>
        <v>85000</v>
      </c>
      <c r="N331" s="496">
        <f t="shared" ca="1" si="152"/>
        <v>17240</v>
      </c>
      <c r="O331" s="496">
        <f t="shared" ca="1" si="149"/>
        <v>10.141176470588235</v>
      </c>
      <c r="P331" s="496">
        <f t="shared" ca="1" si="150"/>
        <v>20.28235294117647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IFERROR(__xludf.DUMMYFUNCTION("IMPORTRANGE(""https://docs.google.com/spreadsheets/d/1MeEWN-I1oV_STSDYn1IFDPWt_1FKiwhDph83XaGc0o0/edit?usp=sharing"",""งบพรบ!ER40"")"),85000)</f>
        <v>85000</v>
      </c>
      <c r="N333" s="93">
        <f ca="1">IFERROR(__xludf.DUMMYFUNCTION("IMPORTRANGE(""https://docs.google.com/spreadsheets/d/1MeEWN-I1oV_STSDYn1IFDPWt_1FKiwhDph83XaGc0o0/edit?usp=sharing"",""งบพรบ!ET40"")"),17240)</f>
        <v>17240</v>
      </c>
      <c r="O333" s="93">
        <f t="shared" ca="1" si="149"/>
        <v>10.141176470588235</v>
      </c>
      <c r="P333" s="93">
        <f t="shared" ca="1" si="150"/>
        <v>20.28235294117647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850000</v>
      </c>
      <c r="M334" s="496">
        <f t="shared" ca="1" si="153"/>
        <v>850000</v>
      </c>
      <c r="N334" s="496">
        <f t="shared" ca="1" si="153"/>
        <v>740000</v>
      </c>
      <c r="O334" s="496">
        <f t="shared" ca="1" si="149"/>
        <v>87.058823529411768</v>
      </c>
      <c r="P334" s="496">
        <f t="shared" ca="1" si="150"/>
        <v>87.058823529411768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IFERROR(__xludf.DUMMYFUNCTION("IMPORTRANGE(""https://docs.google.com/spreadsheets/d/1MeEWN-I1oV_STSDYn1IFDPWt_1FKiwhDph83XaGc0o0/edit?usp=sharing"",""งบพรบ!ES40"")"),850000)</f>
        <v>850000</v>
      </c>
      <c r="N336" s="93">
        <f ca="1">IFERROR(__xludf.DUMMYFUNCTION("IMPORTRANGE(""https://docs.google.com/spreadsheets/d/1MeEWN-I1oV_STSDYn1IFDPWt_1FKiwhDph83XaGc0o0/edit?usp=sharing"",""งบพรบ!EU40"")"),740000)</f>
        <v>740000</v>
      </c>
      <c r="O336" s="93">
        <f t="shared" ca="1" si="149"/>
        <v>87.058823529411768</v>
      </c>
      <c r="P336" s="93">
        <f t="shared" ca="1" si="150"/>
        <v>87.058823529411768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IFERROR(__xludf.DUMMYFUNCTION("IMPORTRANGE(""https://docs.google.com/spreadsheets/d/1QqKyyYR6Q21VydFLVH3TRQUabQu_ym0Zz7PgGX0-kHA/edit?usp=sharing"",""แผน!EG40"")"),2300)</f>
        <v>2300</v>
      </c>
      <c r="J338" s="269">
        <f ca="1">IFERROR(__xludf.DUMMYFUNCTION("IMPORTRANGE(""https://docs.google.com/spreadsheets/d/1kVcqe37tkHyjCSG3S0O1AXqVkqjo8mSIZil3BcpIysc/edit?usp=sharing"",""ศูนย์!D40"")"),171)</f>
        <v>171</v>
      </c>
      <c r="K338" s="496">
        <f ca="1">IF(I338&gt;0,J338*100/I338,0)</f>
        <v>7.4347826086956523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IFERROR(__xludf.DUMMYFUNCTION("IMPORTRANGE(""https://docs.google.com/spreadsheets/d/1QqKyyYR6Q21VydFLVH3TRQUabQu_ym0Zz7PgGX0-kHA/edit?usp=sharing"",""แผน!EH40"")"),6)</f>
        <v>6</v>
      </c>
      <c r="J340" s="269">
        <f ca="1">IFERROR(__xludf.DUMMYFUNCTION("IMPORTRANGE(""https://docs.google.com/spreadsheets/d/1kVcqe37tkHyjCSG3S0O1AXqVkqjo8mSIZil3BcpIysc/edit?usp=sharing"",""ศูนย์!E40"")"),1)</f>
        <v>1</v>
      </c>
      <c r="K340" s="496">
        <f ca="1">IF(I340&gt;0,J340*100/I340,0)</f>
        <v>16.666666666666668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IFERROR(__xludf.DUMMYFUNCTION("IMPORTRANGE(""https://docs.google.com/spreadsheets/d/1kVcqe37tkHyjCSG3S0O1AXqVkqjo8mSIZil3BcpIysc/edit?usp=sharing"",""ศูนย์!F40"")"),107)</f>
        <v>107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IFERROR(__xludf.DUMMYFUNCTION("IMPORTRANGE(""https://docs.google.com/spreadsheets/d/1kVcqe37tkHyjCSG3S0O1AXqVkqjo8mSIZil3BcpIysc/edit?usp=sharing"",""ศูนย์!G40"")"),0)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IFERROR(__xludf.DUMMYFUNCTION("IMPORTRANGE(""https://docs.google.com/spreadsheets/d/1kVcqe37tkHyjCSG3S0O1AXqVkqjo8mSIZil3BcpIysc/edit?usp=sharing"",""ศูนย์!H40"")"),0)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714860</v>
      </c>
      <c r="M345" s="155">
        <f t="shared" ca="1" si="154"/>
        <v>433230</v>
      </c>
      <c r="N345" s="155">
        <f t="shared" ca="1" si="154"/>
        <v>232126</v>
      </c>
      <c r="O345" s="155">
        <f t="shared" ref="O345:O353" ca="1" si="155">IF(L345&gt;0,N345*100/L345,0)</f>
        <v>32.471532887558404</v>
      </c>
      <c r="P345" s="155">
        <f t="shared" ref="P345:P353" ca="1" si="156">IF(M345&gt;0,N345*100/M345,0)</f>
        <v>53.580315305957576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714860</v>
      </c>
      <c r="M347" s="93">
        <f t="shared" ca="1" si="157"/>
        <v>433230</v>
      </c>
      <c r="N347" s="93">
        <f t="shared" ca="1" si="157"/>
        <v>232126</v>
      </c>
      <c r="O347" s="93">
        <f t="shared" ca="1" si="155"/>
        <v>32.471532887558404</v>
      </c>
      <c r="P347" s="93">
        <f t="shared" ca="1" si="156"/>
        <v>53.580315305957576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563260</v>
      </c>
      <c r="M348" s="496">
        <f t="shared" ca="1" si="158"/>
        <v>281630</v>
      </c>
      <c r="N348" s="496">
        <f t="shared" ca="1" si="158"/>
        <v>80526</v>
      </c>
      <c r="O348" s="496">
        <f t="shared" ca="1" si="155"/>
        <v>14.296417285090367</v>
      </c>
      <c r="P348" s="496">
        <f t="shared" ca="1" si="156"/>
        <v>28.592834570180734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IFERROR(__xludf.DUMMYFUNCTION("IMPORTRANGE(""https://docs.google.com/spreadsheets/d/1MeEWN-I1oV_STSDYn1IFDPWt_1FKiwhDph83XaGc0o0/edit?usp=sharing"",""งบพรบ!FB40"")"),281630)</f>
        <v>281630</v>
      </c>
      <c r="N350" s="93">
        <f ca="1">IFERROR(__xludf.DUMMYFUNCTION("IMPORTRANGE(""https://docs.google.com/spreadsheets/d/1MeEWN-I1oV_STSDYn1IFDPWt_1FKiwhDph83XaGc0o0/edit?usp=sharing"",""งบพรบ!FD40"")"),80526)</f>
        <v>80526</v>
      </c>
      <c r="O350" s="93">
        <f t="shared" ca="1" si="155"/>
        <v>14.296417285090367</v>
      </c>
      <c r="P350" s="93">
        <f t="shared" ca="1" si="156"/>
        <v>28.592834570180734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151600</v>
      </c>
      <c r="M351" s="496">
        <f t="shared" ca="1" si="159"/>
        <v>151600</v>
      </c>
      <c r="N351" s="496">
        <f t="shared" ca="1" si="159"/>
        <v>151600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IFERROR(__xludf.DUMMYFUNCTION("IMPORTRANGE(""https://docs.google.com/spreadsheets/d/1QqKyyYR6Q21VydFLVH3TRQUabQu_ym0Zz7PgGX0-kHA/edit?usp=sharing"",""แผน!EP40"")"),224)</f>
        <v>224</v>
      </c>
      <c r="J355" s="463">
        <f ca="1">J362</f>
        <v>2</v>
      </c>
      <c r="K355" s="464">
        <f ca="1">IF(I355&gt;0,J355*100/I355,0)</f>
        <v>0.8928571428571429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IFERROR(__xludf.DUMMYFUNCTION("IMPORTRANGE(""https://docs.google.com/spreadsheets/d/1XWAQStnk-4SwqDmLtmXYiTMKHgktTP8We1SCoS47DrQ/edit?usp=sharing"",""จัดที่ดิน!W40"")"),76)</f>
        <v>76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IFERROR(__xludf.DUMMYFUNCTION("IMPORTRANGE(""https://docs.google.com/spreadsheets/d/1QqKyyYR6Q21VydFLVH3TRQUabQu_ym0Zz7PgGX0-kHA/edit?usp=sharing"",""แผน!EO40"")"),2240)</f>
        <v>2240</v>
      </c>
      <c r="J359" s="269">
        <f ca="1">IFERROR(__xludf.DUMMYFUNCTION("IMPORTRANGE(""https://docs.google.com/spreadsheets/d/1XWAQStnk-4SwqDmLtmXYiTMKHgktTP8We1SCoS47DrQ/edit?usp=sharing"",""จัดที่ดิน!X40"")"),437.89)</f>
        <v>437.89</v>
      </c>
      <c r="K359" s="496">
        <f t="shared" ca="1" si="160"/>
        <v>19.548660714285713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IFERROR(__xludf.DUMMYFUNCTION("IMPORTRANGE(""https://docs.google.com/spreadsheets/d/1QqKyyYR6Q21VydFLVH3TRQUabQu_ym0Zz7PgGX0-kHA/edit?usp=sharing"",""แผน!EP40"")"),224)</f>
        <v>224</v>
      </c>
      <c r="J360" s="269">
        <f ca="1">IFERROR(__xludf.DUMMYFUNCTION("IMPORTRANGE(""https://docs.google.com/spreadsheets/d/1XWAQStnk-4SwqDmLtmXYiTMKHgktTP8We1SCoS47DrQ/edit?usp=sharing"",""จัดที่ดิน!Y40"")"),61)</f>
        <v>61</v>
      </c>
      <c r="K360" s="496">
        <f t="shared" ca="1" si="160"/>
        <v>27.232142857142858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IFERROR(__xludf.DUMMYFUNCTION("IMPORTRANGE(""https://docs.google.com/spreadsheets/d/1XWAQStnk-4SwqDmLtmXYiTMKHgktTP8We1SCoS47DrQ/edit?usp=sharing"",""จัดที่ดิน!Z40"")"),381.539999999999)</f>
        <v>381.539999999999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IFERROR(__xludf.DUMMYFUNCTION("IMPORTRANGE(""https://docs.google.com/spreadsheets/d/1QqKyyYR6Q21VydFLVH3TRQUabQu_ym0Zz7PgGX0-kHA/edit?usp=sharing"",""แผน!EP40"")"),224)</f>
        <v>224</v>
      </c>
      <c r="J362" s="269">
        <f ca="1">IFERROR(__xludf.DUMMYFUNCTION("IMPORTRANGE(""https://docs.google.com/spreadsheets/d/1XWAQStnk-4SwqDmLtmXYiTMKHgktTP8We1SCoS47DrQ/edit?usp=sharing"",""จัดที่ดิน!AA40"")"),2)</f>
        <v>2</v>
      </c>
      <c r="K362" s="496">
        <f t="shared" ca="1" si="160"/>
        <v>0.8928571428571429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IFERROR(__xludf.DUMMYFUNCTION("IMPORTRANGE(""https://docs.google.com/spreadsheets/d/1XWAQStnk-4SwqDmLtmXYiTMKHgktTP8We1SCoS47DrQ/edit?usp=sharing"",""จัดที่ดิน!AB40"")"),4.71)</f>
        <v>4.71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374</v>
      </c>
      <c r="J364" s="477">
        <f t="shared" ca="1" si="161"/>
        <v>42</v>
      </c>
      <c r="K364" s="478">
        <f t="shared" ca="1" si="160"/>
        <v>11.229946524064172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IFERROR(__xludf.DUMMYFUNCTION("IMPORTRANGE(""https://docs.google.com/spreadsheets/d/1QqKyyYR6Q21VydFLVH3TRQUabQu_ym0Zz7PgGX0-kHA/edit?usp=sharing"",""แผน!EJ40"")"),24)</f>
        <v>24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IFERROR(__xludf.DUMMYFUNCTION("IMPORTRANGE(""https://docs.google.com/spreadsheets/d/1XWAQStnk-4SwqDmLtmXYiTMKHgktTP8We1SCoS47DrQ/edit?usp=sharing"",""จัดที่ดิน!E40"")"),16)</f>
        <v>16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IFERROR(__xludf.DUMMYFUNCTION("IMPORTRANGE(""https://docs.google.com/spreadsheets/d/1QqKyyYR6Q21VydFLVH3TRQUabQu_ym0Zz7PgGX0-kHA/edit?usp=sharing"",""แผน!EI40"")"),240)</f>
        <v>240</v>
      </c>
      <c r="J369" s="269">
        <f ca="1">IFERROR(__xludf.DUMMYFUNCTION("IMPORTRANGE(""https://docs.google.com/spreadsheets/d/1XWAQStnk-4SwqDmLtmXYiTMKHgktTP8We1SCoS47DrQ/edit?usp=sharing"",""จัดที่ดิน!F40"")"),40.87)</f>
        <v>40.869999999999997</v>
      </c>
      <c r="K369" s="496">
        <f t="shared" ca="1" si="162"/>
        <v>17.029166666666665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IFERROR(__xludf.DUMMYFUNCTION("IMPORTRANGE(""https://docs.google.com/spreadsheets/d/1QqKyyYR6Q21VydFLVH3TRQUabQu_ym0Zz7PgGX0-kHA/edit?usp=sharing"",""แผน!EJ40"")"),24)</f>
        <v>24</v>
      </c>
      <c r="J370" s="269">
        <f ca="1">IFERROR(__xludf.DUMMYFUNCTION("IMPORTRANGE(""https://docs.google.com/spreadsheets/d/1XWAQStnk-4SwqDmLtmXYiTMKHgktTP8We1SCoS47DrQ/edit?usp=sharing"",""จัดที่ดิน!G40"")"),8)</f>
        <v>8</v>
      </c>
      <c r="K370" s="496">
        <f t="shared" ca="1" si="162"/>
        <v>33.333333333333336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IFERROR(__xludf.DUMMYFUNCTION("IMPORTRANGE(""https://docs.google.com/spreadsheets/d/1XWAQStnk-4SwqDmLtmXYiTMKHgktTP8We1SCoS47DrQ/edit?usp=sharing"",""จัดที่ดิน!H40"")"),6.84)</f>
        <v>6.84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IFERROR(__xludf.DUMMYFUNCTION("IMPORTRANGE(""https://docs.google.com/spreadsheets/d/1QqKyyYR6Q21VydFLVH3TRQUabQu_ym0Zz7PgGX0-kHA/edit?usp=sharing"",""แผน!EJ40"")"),24)</f>
        <v>24</v>
      </c>
      <c r="J372" s="269">
        <f ca="1">IFERROR(__xludf.DUMMYFUNCTION("IMPORTRANGE(""https://docs.google.com/spreadsheets/d/1XWAQStnk-4SwqDmLtmXYiTMKHgktTP8We1SCoS47DrQ/edit?usp=sharing"",""จัดที่ดิน!I40"")"),0)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IFERROR(__xludf.DUMMYFUNCTION("IMPORTRANGE(""https://docs.google.com/spreadsheets/d/1XWAQStnk-4SwqDmLtmXYiTMKHgktTP8We1SCoS47DrQ/edit?usp=sharing"",""จัดที่ดิน!J40"")"),0)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IFERROR(__xludf.DUMMYFUNCTION("IMPORTRANGE(""https://docs.google.com/spreadsheets/d/1QqKyyYR6Q21VydFLVH3TRQUabQu_ym0Zz7PgGX0-kHA/edit?usp=sharing"",""แผน!EU40"")"),350)</f>
        <v>350</v>
      </c>
      <c r="J374" s="489">
        <f ca="1">J381</f>
        <v>42</v>
      </c>
      <c r="K374" s="490">
        <f t="shared" ca="1" si="162"/>
        <v>12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IFERROR(__xludf.DUMMYFUNCTION("IMPORTRANGE(""https://docs.google.com/spreadsheets/d/1XWAQStnk-4SwqDmLtmXYiTMKHgktTP8We1SCoS47DrQ/edit?usp=sharing"",""จัดที่ดิน!AH40"")"),60)</f>
        <v>60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IFERROR(__xludf.DUMMYFUNCTION("IMPORTRANGE(""https://docs.google.com/spreadsheets/d/1QqKyyYR6Q21VydFLVH3TRQUabQu_ym0Zz7PgGX0-kHA/edit?usp=sharing"",""แผน!ET40"")"),2000)</f>
        <v>2000</v>
      </c>
      <c r="J378" s="269">
        <f ca="1">IFERROR(__xludf.DUMMYFUNCTION("IMPORTRANGE(""https://docs.google.com/spreadsheets/d/1XWAQStnk-4SwqDmLtmXYiTMKHgktTP8We1SCoS47DrQ/edit?usp=sharing"",""จัดที่ดิน!AI40"")"),397.02)</f>
        <v>397.02</v>
      </c>
      <c r="K378" s="496">
        <f t="shared" ca="1" si="163"/>
        <v>19.850999999999999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IFERROR(__xludf.DUMMYFUNCTION("IMPORTRANGE(""https://docs.google.com/spreadsheets/d/1QqKyyYR6Q21VydFLVH3TRQUabQu_ym0Zz7PgGX0-kHA/edit?usp=sharing"",""แผน!EU40"")"),350)</f>
        <v>350</v>
      </c>
      <c r="J379" s="269">
        <f ca="1">IFERROR(__xludf.DUMMYFUNCTION("IMPORTRANGE(""https://docs.google.com/spreadsheets/d/1XWAQStnk-4SwqDmLtmXYiTMKHgktTP8We1SCoS47DrQ/edit?usp=sharing"",""จัดที่ดิน!AJ40"")"),91)</f>
        <v>91</v>
      </c>
      <c r="K379" s="496">
        <f t="shared" ca="1" si="163"/>
        <v>26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IFERROR(__xludf.DUMMYFUNCTION("IMPORTRANGE(""https://docs.google.com/spreadsheets/d/1XWAQStnk-4SwqDmLtmXYiTMKHgktTP8We1SCoS47DrQ/edit?usp=sharing"",""จัดที่ดิน!AK40"")"),738.37)</f>
        <v>738.37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IFERROR(__xludf.DUMMYFUNCTION("IMPORTRANGE(""https://docs.google.com/spreadsheets/d/1QqKyyYR6Q21VydFLVH3TRQUabQu_ym0Zz7PgGX0-kHA/edit?usp=sharing"",""แผน!EU40"")"),350)</f>
        <v>350</v>
      </c>
      <c r="J381" s="269">
        <f ca="1">IFERROR(__xludf.DUMMYFUNCTION("IMPORTRANGE(""https://docs.google.com/spreadsheets/d/1XWAQStnk-4SwqDmLtmXYiTMKHgktTP8We1SCoS47DrQ/edit?usp=sharing"",""จัดที่ดิน!AL40"")"),42)</f>
        <v>42</v>
      </c>
      <c r="K381" s="496">
        <f t="shared" ca="1" si="163"/>
        <v>12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IFERROR(__xludf.DUMMYFUNCTION("IMPORTRANGE(""https://docs.google.com/spreadsheets/d/1XWAQStnk-4SwqDmLtmXYiTMKHgktTP8We1SCoS47DrQ/edit?usp=sharing"",""จัดที่ดิน!AM40"")"),405.19)</f>
        <v>405.19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IFERROR(__xludf.DUMMYFUNCTION("IMPORTRANGE(""https://docs.google.com/spreadsheets/d/1QqKyyYR6Q21VydFLVH3TRQUabQu_ym0Zz7PgGX0-kHA/edit?usp=sharing"",""แผน!EW40"")"),80)</f>
        <v>80</v>
      </c>
      <c r="J385" s="499">
        <f ca="1">IFERROR(__xludf.DUMMYFUNCTION("IMPORTRANGE(""https://docs.google.com/spreadsheets/d/1XWAQStnk-4SwqDmLtmXYiTMKHgktTP8We1SCoS47DrQ/edit?usp=sharing"",""จัดที่ดิน!AP40"")"),0)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2368659</v>
      </c>
      <c r="M414" s="547">
        <f t="shared" si="180"/>
        <v>0</v>
      </c>
      <c r="N414" s="547">
        <f t="shared" si="180"/>
        <v>326259</v>
      </c>
      <c r="O414" s="547">
        <f ca="1">IF(L414&gt;0,N414*100/L414,0)</f>
        <v>13.773996172517867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35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115060</v>
      </c>
      <c r="M419" s="155">
        <f t="shared" si="183"/>
        <v>0</v>
      </c>
      <c r="N419" s="155">
        <f t="shared" si="183"/>
        <v>89480</v>
      </c>
      <c r="O419" s="155">
        <f t="shared" ref="O419:O424" ca="1" si="184">IF(L419&gt;0,N419*100/L419,0)</f>
        <v>77.768120980358077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115060</v>
      </c>
      <c r="M421" s="93">
        <f t="shared" si="186"/>
        <v>0</v>
      </c>
      <c r="N421" s="93">
        <f t="shared" si="186"/>
        <v>89480</v>
      </c>
      <c r="O421" s="93">
        <f t="shared" ca="1" si="184"/>
        <v>77.768120980358077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115060</v>
      </c>
      <c r="M422" s="496">
        <f t="shared" si="187"/>
        <v>0</v>
      </c>
      <c r="N422" s="496">
        <f t="shared" si="187"/>
        <v>89480</v>
      </c>
      <c r="O422" s="496">
        <f t="shared" ca="1" si="184"/>
        <v>77.768120980358077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v>0</v>
      </c>
      <c r="N424" s="93">
        <f>N425+N426+N427+N428</f>
        <v>89480</v>
      </c>
      <c r="O424" s="93">
        <f t="shared" ca="1" si="184"/>
        <v>77.768120980358077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84800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4680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35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IFERROR(__xludf.DUMMYFUNCTION("IMPORTRANGE(""https://docs.google.com/spreadsheets/d/1QqKyyYR6Q21VydFLVH3TRQUabQu_ym0Zz7PgGX0-kHA/edit?usp=sharing"",""แผน!FC40"")"),35)</f>
        <v>35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IFERROR(__xludf.DUMMYFUNCTION("IMPORTRANGE(""https://docs.google.com/spreadsheets/d/1QqKyyYR6Q21VydFLVH3TRQUabQu_ym0Zz7PgGX0-kHA/edit?usp=sharing"",""แผน!FD40"")"),0)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IFERROR(__xludf.DUMMYFUNCTION("IMPORTRANGE(""https://docs.google.com/spreadsheets/d/1QqKyyYR6Q21VydFLVH3TRQUabQu_ym0Zz7PgGX0-kHA/edit?usp=sharing"",""แผน!FE40"")"),0)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IFERROR(__xludf.DUMMYFUNCTION("IMPORTRANGE(""https://docs.google.com/spreadsheets/d/1QqKyyYR6Q21VydFLVH3TRQUabQu_ym0Zz7PgGX0-kHA/edit?usp=sharing"",""แผน!FF40"")"),35)</f>
        <v>35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IFERROR(__xludf.DUMMYFUNCTION("IMPORTRANGE(""https://docs.google.com/spreadsheets/d/1QqKyyYR6Q21VydFLVH3TRQUabQu_ym0Zz7PgGX0-kHA/edit?usp=sharing"",""แผน!FG40"")"),1)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IFERROR(__xludf.DUMMYFUNCTION("IMPORTRANGE(""https://docs.google.com/spreadsheets/d/1QqKyyYR6Q21VydFLVH3TRQUabQu_ym0Zz7PgGX0-kHA/edit?usp=sharing"",""แผน!FH40"")"),0)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50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120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372400</v>
      </c>
      <c r="M444" s="195">
        <f t="shared" si="196"/>
        <v>0</v>
      </c>
      <c r="N444" s="195">
        <f t="shared" si="196"/>
        <v>17040</v>
      </c>
      <c r="O444" s="195">
        <f t="shared" ref="O444:O449" ca="1" si="197">IF(L444&gt;0,N444*100/L444,0)</f>
        <v>4.5757250268528464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372400</v>
      </c>
      <c r="M446" s="93">
        <f t="shared" si="199"/>
        <v>0</v>
      </c>
      <c r="N446" s="93">
        <f t="shared" si="199"/>
        <v>17040</v>
      </c>
      <c r="O446" s="93">
        <f t="shared" ca="1" si="197"/>
        <v>4.5757250268528464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372400</v>
      </c>
      <c r="M447" s="496">
        <f t="shared" si="200"/>
        <v>0</v>
      </c>
      <c r="N447" s="496">
        <f t="shared" si="200"/>
        <v>17040</v>
      </c>
      <c r="O447" s="496">
        <f t="shared" ca="1" si="197"/>
        <v>4.5757250268528464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v>0</v>
      </c>
      <c r="N449" s="93">
        <f>N450+N451+N452+N453</f>
        <v>17040</v>
      </c>
      <c r="O449" s="93">
        <f t="shared" ca="1" si="197"/>
        <v>4.5757250268528464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13000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4040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IFERROR(__xludf.DUMMYFUNCTION("IMPORTRANGE(""https://docs.google.com/spreadsheets/d/1QqKyyYR6Q21VydFLVH3TRQUabQu_ym0Zz7PgGX0-kHA/edit?usp=sharing"",""แผน!FN40"")"),50)</f>
        <v>50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IFERROR(__xludf.DUMMYFUNCTION("IMPORTRANGE(""https://docs.google.com/spreadsheets/d/1QqKyyYR6Q21VydFLVH3TRQUabQu_ym0Zz7PgGX0-kHA/edit?usp=sharing"",""แผน!FO40"")"),120)</f>
        <v>120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IFERROR(__xludf.DUMMYFUNCTION("IMPORTRANGE(""https://docs.google.com/spreadsheets/d/1QqKyyYR6Q21VydFLVH3TRQUabQu_ym0Zz7PgGX0-kHA/edit?usp=sharing"",""แผน!FO40"")"),120)</f>
        <v>120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IFERROR(__xludf.DUMMYFUNCTION("IMPORTRANGE(""https://docs.google.com/spreadsheets/d/1QqKyyYR6Q21VydFLVH3TRQUabQu_ym0Zz7PgGX0-kHA/edit?usp=sharing"",""แผน!FN40"")"),50)</f>
        <v>50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IFERROR(__xludf.DUMMYFUNCTION("IMPORTRANGE(""https://docs.google.com/spreadsheets/d/1QqKyyYR6Q21VydFLVH3TRQUabQu_ym0Zz7PgGX0-kHA/edit?usp=sharing"",""แผน!FX40"")"),131)</f>
        <v>131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IFERROR(__xludf.DUMMYFUNCTION("IMPORTRANGE(""https://docs.google.com/spreadsheets/d/1QqKyyYR6Q21VydFLVH3TRQUabQu_ym0Zz7PgGX0-kHA/edit?usp=sharing"",""แผน!FW40"")"),1300)</f>
        <v>1300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88470</v>
      </c>
      <c r="O467" s="195">
        <f t="shared" ref="O467:O472" ca="1" si="206">IF(L467&gt;0,N467*100/L467,0)</f>
        <v>7.6165599699711075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88470</v>
      </c>
      <c r="O469" s="93">
        <f t="shared" ca="1" si="206"/>
        <v>7.6165599699711075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1161548</v>
      </c>
      <c r="M470" s="496">
        <f t="shared" si="209"/>
        <v>0</v>
      </c>
      <c r="N470" s="496">
        <f t="shared" si="209"/>
        <v>88470</v>
      </c>
      <c r="O470" s="496">
        <f t="shared" ca="1" si="206"/>
        <v>7.6165599699711075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IFERROR(__xludf.DUMMYFUNCTION("IMPORTRANGE(""https://docs.google.com/spreadsheets/d/1QqKyyYR6Q21VydFLVH3TRQUabQu_ym0Zz7PgGX0-kHA/edit?usp=sharing"",""แผน!FS40"")"),1161548)</f>
        <v>1161548</v>
      </c>
      <c r="M472" s="93">
        <v>0</v>
      </c>
      <c r="N472" s="93">
        <f>N473+N474+N475+N476</f>
        <v>88470</v>
      </c>
      <c r="O472" s="93">
        <f t="shared" ca="1" si="206"/>
        <v>7.6165599699711075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73820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13000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1650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IFERROR(__xludf.DUMMYFUNCTION("IMPORTRANGE(""https://docs.google.com/spreadsheets/d/1QqKyyYR6Q21VydFLVH3TRQUabQu_ym0Zz7PgGX0-kHA/edit?usp=sharing"",""แผน!FY40"")"),1170)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IFERROR(__xludf.DUMMYFUNCTION("IMPORTRANGE(""https://docs.google.com/spreadsheets/d/1QqKyyYR6Q21VydFLVH3TRQUabQu_ym0Zz7PgGX0-kHA/edit?usp=sharing"",""แผน!FZ40"")"),117)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IFERROR(__xludf.DUMMYFUNCTION("IMPORTRANGE(""https://docs.google.com/spreadsheets/d/1QqKyyYR6Q21VydFLVH3TRQUabQu_ym0Zz7PgGX0-kHA/edit?usp=sharing"",""แผน!GA40"")"),130)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IFERROR(__xludf.DUMMYFUNCTION("IMPORTRANGE(""https://docs.google.com/spreadsheets/d/1QqKyyYR6Q21VydFLVH3TRQUabQu_ym0Zz7PgGX0-kHA/edit?usp=sharing"",""แผน!GB40"")"),13)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IFERROR(__xludf.DUMMYFUNCTION("IMPORTRANGE(""https://docs.google.com/spreadsheets/d/1QqKyyYR6Q21VydFLVH3TRQUabQu_ym0Zz7PgGX0-kHA/edit?usp=sharing"",""แผน!GC40"")"),1)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IFERROR(__xludf.DUMMYFUNCTION("IMPORTRANGE(""https://docs.google.com/spreadsheets/d/1QqKyyYR6Q21VydFLVH3TRQUabQu_ym0Zz7PgGX0-kHA/edit?usp=sharing"",""แผน!FY40"")"),1170)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IFERROR(__xludf.DUMMYFUNCTION("IMPORTRANGE(""https://docs.google.com/spreadsheets/d/1QqKyyYR6Q21VydFLVH3TRQUabQu_ym0Zz7PgGX0-kHA/edit?usp=sharing"",""แผน!GA40"")"),130)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IFERROR(__xludf.DUMMYFUNCTION("IMPORTRANGE(""https://docs.google.com/spreadsheets/d/1QqKyyYR6Q21VydFLVH3TRQUabQu_ym0Zz7PgGX0-kHA/edit?usp=sharing"",""แผน!GU40"")"),0)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IFERROR(__xludf.DUMMYFUNCTION("IMPORTRANGE(""https://docs.google.com/spreadsheets/d/1QqKyyYR6Q21VydFLVH3TRQUabQu_ym0Zz7PgGX0-kHA/edit?usp=sharing"",""แผน!GV40"")"),0)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IFERROR(__xludf.DUMMYFUNCTION("IMPORTRANGE(""https://docs.google.com/spreadsheets/d/1QqKyyYR6Q21VydFLVH3TRQUabQu_ym0Zz7PgGX0-kHA/edit?usp=sharing"",""แผน!GW40"")"),0)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IFERROR(__xludf.DUMMYFUNCTION("IMPORTRANGE(""https://docs.google.com/spreadsheets/d/1QqKyyYR6Q21VydFLVH3TRQUabQu_ym0Zz7PgGX0-kHA/edit?usp=sharing"",""แผน!GX40"")"),0)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IFERROR(__xludf.DUMMYFUNCTION("IMPORTRANGE(""https://docs.google.com/spreadsheets/d/1QqKyyYR6Q21VydFLVH3TRQUabQu_ym0Zz7PgGX0-kHA/edit?usp=sharing"",""แผน!GY40"")"),0)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IFERROR(__xludf.DUMMYFUNCTION("IMPORTRANGE(""https://docs.google.com/spreadsheets/d/1QqKyyYR6Q21VydFLVH3TRQUabQu_ym0Zz7PgGX0-kHA/edit?usp=sharing"",""แผน!GZ40"")"),0)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35301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335971</v>
      </c>
      <c r="M544" s="155">
        <f t="shared" si="235"/>
        <v>0</v>
      </c>
      <c r="N544" s="155">
        <f t="shared" si="235"/>
        <v>95749</v>
      </c>
      <c r="O544" s="155">
        <f t="shared" ref="O544:O549" ca="1" si="236">IF(L544&gt;0,N544*100/L544,0)</f>
        <v>28.499185941643773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335971</v>
      </c>
      <c r="M546" s="93">
        <f t="shared" si="239"/>
        <v>0</v>
      </c>
      <c r="N546" s="93">
        <f t="shared" si="239"/>
        <v>95749</v>
      </c>
      <c r="O546" s="93">
        <f t="shared" ca="1" si="236"/>
        <v>28.499185941643773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335971</v>
      </c>
      <c r="M547" s="496">
        <f t="shared" si="240"/>
        <v>0</v>
      </c>
      <c r="N547" s="496">
        <f t="shared" si="240"/>
        <v>95749</v>
      </c>
      <c r="O547" s="496">
        <f t="shared" ca="1" si="236"/>
        <v>28.499185941643773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IFERROR(__xludf.DUMMYFUNCTION("IMPORTRANGE(""https://docs.google.com/spreadsheets/d/1QqKyyYR6Q21VydFLVH3TRQUabQu_ym0Zz7PgGX0-kHA/edit?usp=sharing"",""แผน!HB40"")"),335971)</f>
        <v>335971</v>
      </c>
      <c r="M549" s="93">
        <v>0</v>
      </c>
      <c r="N549" s="93">
        <f>N550+N551+N552+N553+N554</f>
        <v>95749</v>
      </c>
      <c r="O549" s="93">
        <f t="shared" ca="1" si="236"/>
        <v>28.499185941643773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13000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66032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16717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35301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IFERROR(__xludf.DUMMYFUNCTION("IMPORTRANGE(""https://docs.google.com/spreadsheets/d/1QqKyyYR6Q21VydFLVH3TRQUabQu_ym0Zz7PgGX0-kHA/edit?usp=sharing"",""แผน!HH40"")"),35301)</f>
        <v>35301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IFERROR(__xludf.DUMMYFUNCTION("IMPORTRANGE(""https://docs.google.com/spreadsheets/d/1QqKyyYR6Q21VydFLVH3TRQUabQu_ym0Zz7PgGX0-kHA/edit?usp=sharing"",""แผน!HH40"")"),35301)</f>
        <v>35301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IFERROR(__xludf.DUMMYFUNCTION("IMPORTRANGE(""https://docs.google.com/spreadsheets/d/1QqKyyYR6Q21VydFLVH3TRQUabQu_ym0Zz7PgGX0-kHA/edit?usp=sharing"",""แผน!HH40"")"),35301)</f>
        <v>35301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1104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IFERROR(__xludf.DUMMYFUNCTION("IMPORTRANGE(""https://docs.google.com/spreadsheets/d/1QqKyyYR6Q21VydFLVH3TRQUabQu_ym0Zz7PgGX0-kHA/edit?usp=sharing"",""แผน!HJ40"")"),1104)</f>
        <v>1104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IFERROR(__xludf.DUMMYFUNCTION("IMPORTRANGE(""https://docs.google.com/spreadsheets/d/1QqKyyYR6Q21VydFLVH3TRQUabQu_ym0Zz7PgGX0-kHA/edit?usp=sharing"",""แผน!HL40"")"),0)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IFERROR(__xludf.DUMMYFUNCTION("IMPORTRANGE(""https://docs.google.com/spreadsheets/d/1QqKyyYR6Q21VydFLVH3TRQUabQu_ym0Zz7PgGX0-kHA/edit?usp=sharing"",""แผน!HK40"")"),0)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100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383680</v>
      </c>
      <c r="M629" s="195">
        <f t="shared" si="262"/>
        <v>0</v>
      </c>
      <c r="N629" s="195">
        <f t="shared" si="262"/>
        <v>35520</v>
      </c>
      <c r="O629" s="195">
        <f t="shared" ref="O629:O634" ca="1" si="263">IF(L629&gt;0,N629*100/L629,0)</f>
        <v>9.2577147623019176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383680</v>
      </c>
      <c r="M631" s="93">
        <f t="shared" si="265"/>
        <v>0</v>
      </c>
      <c r="N631" s="93">
        <f t="shared" si="265"/>
        <v>35520</v>
      </c>
      <c r="O631" s="93">
        <f t="shared" ca="1" si="263"/>
        <v>9.2577147623019176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383680</v>
      </c>
      <c r="M632" s="496">
        <f t="shared" si="266"/>
        <v>0</v>
      </c>
      <c r="N632" s="496">
        <f t="shared" si="266"/>
        <v>35520</v>
      </c>
      <c r="O632" s="496">
        <f t="shared" ca="1" si="263"/>
        <v>9.2577147623019176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v>0</v>
      </c>
      <c r="N634" s="93">
        <f>N635+N636+N637+N638</f>
        <v>35520</v>
      </c>
      <c r="O634" s="93">
        <f t="shared" ca="1" si="263"/>
        <v>9.2577147623019176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13000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22520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IFERROR(__xludf.DUMMYFUNCTION("IMPORTRANGE(""https://docs.google.com/spreadsheets/d/1QqKyyYR6Q21VydFLVH3TRQUabQu_ym0Zz7PgGX0-kHA/edit?usp=sharing"",""แผน!HR40"")"),2)</f>
        <v>2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IFERROR(__xludf.DUMMYFUNCTION("IMPORTRANGE(""https://docs.google.com/spreadsheets/d/1QqKyyYR6Q21VydFLVH3TRQUabQu_ym0Zz7PgGX0-kHA/edit?usp=sharing"",""แผน!HR40"")"),2)</f>
        <v>2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IFERROR(__xludf.DUMMYFUNCTION("IMPORTRANGE(""https://docs.google.com/spreadsheets/d/1XWAQStnk-4SwqDmLtmXYiTMKHgktTP8We1SCoS47DrQ/edit?usp=sharing"",""จัดที่ดิน!AS40"")"),0)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IFERROR(__xludf.DUMMYFUNCTION("IMPORTRANGE(""https://docs.google.com/spreadsheets/d/1XWAQStnk-4SwqDmLtmXYiTMKHgktTP8We1SCoS47DrQ/edit?usp=sharing"",""จัดที่ดิน!AT40"")"),0)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IFERROR(__xludf.DUMMYFUNCTION("IMPORTRANGE(""https://docs.google.com/spreadsheets/d/1QqKyyYR6Q21VydFLVH3TRQUabQu_ym0Zz7PgGX0-kHA/edit?usp=sharing"",""แผน!HS40"")"),100)</f>
        <v>100</v>
      </c>
      <c r="J647" s="269">
        <f ca="1">IFERROR(__xludf.DUMMYFUNCTION("IMPORTRANGE(""https://docs.google.com/spreadsheets/d/1XWAQStnk-4SwqDmLtmXYiTMKHgktTP8We1SCoS47DrQ/edit?usp=sharing"",""จัดที่ดิน!AU40"")"),14)</f>
        <v>14</v>
      </c>
      <c r="K647" s="163">
        <f t="shared" ca="1" si="270"/>
        <v>14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IFERROR(__xludf.DUMMYFUNCTION("IMPORTRANGE(""https://docs.google.com/spreadsheets/d/1XWAQStnk-4SwqDmLtmXYiTMKHgktTP8We1SCoS47DrQ/edit?usp=sharing"",""จัดที่ดิน!AV40"")"),10.82)</f>
        <v>10.82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IFERROR(__xludf.DUMMYFUNCTION("IMPORTRANGE(""https://docs.google.com/spreadsheets/d/1QqKyyYR6Q21VydFLVH3TRQUabQu_ym0Zz7PgGX0-kHA/edit?usp=sharing"",""แผน!HS40"")"),100)</f>
        <v>100</v>
      </c>
      <c r="J649" s="269">
        <f ca="1">IFERROR(__xludf.DUMMYFUNCTION("IMPORTRANGE(""https://docs.google.com/spreadsheets/d/1XWAQStnk-4SwqDmLtmXYiTMKHgktTP8We1SCoS47DrQ/edit?usp=sharing"",""จัดที่ดิน!AW40"")"),14)</f>
        <v>14</v>
      </c>
      <c r="K649" s="163">
        <f t="shared" ca="1" si="270"/>
        <v>14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IFERROR(__xludf.DUMMYFUNCTION("IMPORTRANGE(""https://docs.google.com/spreadsheets/d/1XWAQStnk-4SwqDmLtmXYiTMKHgktTP8We1SCoS47DrQ/edit?usp=sharing"",""จัดที่ดิน!AX40"")"),10.32)</f>
        <v>10.32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IFERROR(__xludf.DUMMYFUNCTION("IMPORTRANGE(""https://docs.google.com/spreadsheets/d/1QqKyyYR6Q21VydFLVH3TRQUabQu_ym0Zz7PgGX0-kHA/edit?usp=sharing"",""แผน!HS40"")"),100)</f>
        <v>100</v>
      </c>
      <c r="J651" s="269">
        <f ca="1">IFERROR(__xludf.DUMMYFUNCTION("IMPORTRANGE(""https://docs.google.com/spreadsheets/d/1XWAQStnk-4SwqDmLtmXYiTMKHgktTP8We1SCoS47DrQ/edit?usp=sharing"",""จัดที่ดิน!AY40"")"),0)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IFERROR(__xludf.DUMMYFUNCTION("IMPORTRANGE(""https://docs.google.com/spreadsheets/d/1XWAQStnk-4SwqDmLtmXYiTMKHgktTP8We1SCoS47DrQ/edit?usp=sharing"",""จัดที่ดิน!AZ40"")"),0)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 hidden="1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IFERROR(__xludf.DUMMYFUNCTION("IMPORTRANGE(""https://docs.google.com/spreadsheets/d/1QqKyyYR6Q21VydFLVH3TRQUabQu_ym0Zz7PgGX0-kHA/edit?usp=sharing"",""แผน!IA40"")"),0)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IFERROR(__xludf.DUMMYFUNCTION("IMPORTRANGE(""https://docs.google.com/spreadsheets/d/1QqKyyYR6Q21VydFLVH3TRQUabQu_ym0Zz7PgGX0-kHA/edit?usp=sharing"",""แผน!HZ40"")"),0)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IFERROR(__xludf.DUMMYFUNCTION("IMPORTRANGE(""https://docs.google.com/spreadsheets/d/1QqKyyYR6Q21VydFLVH3TRQUabQu_ym0Zz7PgGX0-kHA/edit?usp=sharing"",""แผน!HZ40"")"),0)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IFERROR(__xludf.DUMMYFUNCTION("IMPORTRANGE(""https://docs.google.com/spreadsheets/d/1QqKyyYR6Q21VydFLVH3TRQUabQu_ym0Zz7PgGX0-kHA/edit?usp=sharing"",""แผน!IB40"")"),0)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IFERROR(__xludf.DUMMYFUNCTION("IMPORTRANGE(""https://docs.google.com/spreadsheets/d/1QqKyyYR6Q21VydFLVH3TRQUabQu_ym0Zz7PgGX0-kHA/edit?usp=sharing"",""แผน!IC40"")"),0)</f>
        <v>0</v>
      </c>
      <c r="J699" s="269">
        <f ca="1">IFERROR(__xludf.DUMMYFUNCTION("IMPORTRANGE(""https://docs.google.com/spreadsheets/d/1XWAQStnk-4SwqDmLtmXYiTMKHgktTP8We1SCoS47DrQ/edit?usp=sharing"",""จัดที่ดิน!BB40"")"),0)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IFERROR(__xludf.DUMMYFUNCTION("IMPORTRANGE(""https://docs.google.com/spreadsheets/d/1QqKyyYR6Q21VydFLVH3TRQUabQu_ym0Zz7PgGX0-kHA/edit?usp=sharing"",""แผน!ID40"")"),0)</f>
        <v>0</v>
      </c>
      <c r="J700" s="269">
        <f ca="1">IFERROR(__xludf.DUMMYFUNCTION("IMPORTRANGE(""https://docs.google.com/spreadsheets/d/1XWAQStnk-4SwqDmLtmXYiTMKHgktTP8We1SCoS47DrQ/edit?usp=sharing"",""จัดที่ดิน!BD40"")"),0)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IFERROR(__xludf.DUMMYFUNCTION("IMPORTRANGE(""https://docs.google.com/spreadsheets/d/1QqKyyYR6Q21VydFLVH3TRQUabQu_ym0Zz7PgGX0-kHA/edit?usp=sharing"",""แผน!IE40"")"),0)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IFERROR(__xludf.DUMMYFUNCTION("IMPORTRANGE(""https://docs.google.com/spreadsheets/d/1QqKyyYR6Q21VydFLVH3TRQUabQu_ym0Zz7PgGX0-kHA/edit?usp=sharing"",""แผน!IF40"")"),0)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IFERROR(__xludf.DUMMYFUNCTION("IMPORTRANGE(""https://docs.google.com/spreadsheets/d/1QqKyyYR6Q21VydFLVH3TRQUabQu_ym0Zz7PgGX0-kHA/edit?usp=sharing"",""แผน!IG40"")"),0)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IFERROR(__xludf.DUMMYFUNCTION("IMPORTRANGE(""https://docs.google.com/spreadsheets/d/1QqKyyYR6Q21VydFLVH3TRQUabQu_ym0Zz7PgGX0-kHA/edit?usp=sharing"",""แผน!IH40"")"),0)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IFERROR(__xludf.DUMMYFUNCTION("IMPORTRANGE(""https://docs.google.com/spreadsheets/d/1XWAQStnk-4SwqDmLtmXYiTMKHgktTP8We1SCoS47DrQ/edit?usp=sharing"",""จัดที่ดิน!BF40"")"),0)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IFERROR(__xludf.DUMMYFUNCTION("IMPORTRANGE(""https://docs.google.com/spreadsheets/d/1XWAQStnk-4SwqDmLtmXYiTMKHgktTP8We1SCoS47DrQ/edit?usp=sharing"",""จัดที่ดิน!BG40"")"),0)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IFERROR(__xludf.DUMMYFUNCTION("IMPORTRANGE(""https://docs.google.com/spreadsheets/d/1QqKyyYR6Q21VydFLVH3TRQUabQu_ym0Zz7PgGX0-kHA/edit?usp=sharing"",""แผน!II40"")"),0)</f>
        <v>0</v>
      </c>
      <c r="J720" s="269">
        <f ca="1">IFERROR(__xludf.DUMMYFUNCTION("IMPORTRANGE(""https://docs.google.com/spreadsheets/d/1XWAQStnk-4SwqDmLtmXYiTMKHgktTP8We1SCoS47DrQ/edit?usp=sharing"",""จัดที่ดิน!BH40"")"),0)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IFERROR(__xludf.DUMMYFUNCTION("IMPORTRANGE(""https://docs.google.com/spreadsheets/d/1QqKyyYR6Q21VydFLVH3TRQUabQu_ym0Zz7PgGX0-kHA/edit?usp=sharing"",""แผน!IJ40"")"),0)</f>
        <v>0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IFERROR(__xludf.DUMMYFUNCTION("IMPORTRANGE(""https://docs.google.com/spreadsheets/d/1QqKyyYR6Q21VydFLVH3TRQUabQu_ym0Zz7PgGX0-kHA/edit?usp=sharing"",""แผน!IK40"")"),0)</f>
        <v>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IFERROR(__xludf.DUMMYFUNCTION("IMPORTRANGE(""https://docs.google.com/spreadsheets/d/1QqKyyYR6Q21VydFLVH3TRQUabQu_ym0Zz7PgGX0-kHA/edit?usp=sharing"",""แผน!IL40"")"),0)</f>
        <v>0</v>
      </c>
      <c r="J723" s="269">
        <f ca="1">IFERROR(__xludf.DUMMYFUNCTION("IMPORTRANGE(""https://docs.google.com/spreadsheets/d/1XWAQStnk-4SwqDmLtmXYiTMKHgktTP8We1SCoS47DrQ/edit?usp=sharing"",""จัดที่ดิน!BM40"")"),0)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IFERROR(__xludf.DUMMYFUNCTION("IMPORTRANGE(""https://docs.google.com/spreadsheets/d/1XWAQStnk-4SwqDmLtmXYiTMKHgktTP8We1SCoS47DrQ/edit?usp=sharing"",""จัดที่ดิน!BN40"")"),0)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IFERROR(__xludf.DUMMYFUNCTION("IMPORTRANGE(""https://docs.google.com/spreadsheets/d/1QqKyyYR6Q21VydFLVH3TRQUabQu_ym0Zz7PgGX0-kHA/edit?usp=sharing"",""แผน!IM40"")"),0)</f>
        <v>0</v>
      </c>
      <c r="J725" s="269">
        <f ca="1">IFERROR(__xludf.DUMMYFUNCTION("IMPORTRANGE(""https://docs.google.com/spreadsheets/d/1XWAQStnk-4SwqDmLtmXYiTMKHgktTP8We1SCoS47DrQ/edit?usp=sharing"",""จัดที่ดิน!BO40"")"),0)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IFERROR(__xludf.DUMMYFUNCTION("IMPORTRANGE(""https://docs.google.com/spreadsheets/d/1QqKyyYR6Q21VydFLVH3TRQUabQu_ym0Zz7PgGX0-kHA/edit?usp=sharing"",""แผน!IN40"")"),0)</f>
        <v>0</v>
      </c>
      <c r="J726" s="269">
        <f ca="1">IFERROR(__xludf.DUMMYFUNCTION("IMPORTRANGE(""https://docs.google.com/spreadsheets/d/1XWAQStnk-4SwqDmLtmXYiTMKHgktTP8We1SCoS47DrQ/edit?usp=sharing"",""จัดที่ดิน!BR40"")"),0)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IFERROR(__xludf.DUMMYFUNCTION("IMPORTRANGE(""https://docs.google.com/spreadsheets/d/1XWAQStnk-4SwqDmLtmXYiTMKHgktTP8We1SCoS47DrQ/edit?usp=sharing"",""จัดที่ดิน!BS40"")"),0)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IFERROR(__xludf.DUMMYFUNCTION("IMPORTRANGE(""https://docs.google.com/spreadsheets/d/1QqKyyYR6Q21VydFLVH3TRQUabQu_ym0Zz7PgGX0-kHA/edit?usp=sharing"",""แผน!IO40"")"),0)</f>
        <v>0</v>
      </c>
      <c r="J728" s="269">
        <f ca="1">IFERROR(__xludf.DUMMYFUNCTION("IMPORTRANGE(""https://docs.google.com/spreadsheets/d/1XWAQStnk-4SwqDmLtmXYiTMKHgktTP8We1SCoS47DrQ/edit?usp=sharing"",""จัดที่ดิน!BT40"")"),0)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IFERROR(__xludf.DUMMYFUNCTION("IMPORTRANGE(""https://docs.google.com/spreadsheets/d/1QqKyyYR6Q21VydFLVH3TRQUabQu_ym0Zz7PgGX0-kHA/edit?usp=sharing"",""แผน!IP40"")"),0)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IFERROR(__xludf.DUMMYFUNCTION("IMPORTRANGE(""https://docs.google.com/spreadsheets/d/1MaWodYyGHDf7siQLGxnXhG4mBNTNIuy296niS2xXulU/edit?usp=sharing"",""RTK!I40"")"),0)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269">
        <f ca="1">IFERROR(__xludf.DUMMYFUNCTION("IMPORTRANGE(""https://docs.google.com/spreadsheets/d/19vJNZY_5yjcGF2XGBMNZRCAIB0Kwfpjp8YEOfu-bneM/edit?usp=sharing"",""งานกองทุน!F40"")"),19953.08)</f>
        <v>19953.080000000002</v>
      </c>
      <c r="K821" s="496">
        <f t="shared" ref="K821:K828" ca="1" si="334">IF(I821&gt;0,J821*100/I821,0)</f>
        <v>0.32880691688066871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IFERROR(__xludf.DUMMYFUNCTION("IMPORTRANGE(""https://docs.google.com/spreadsheets/d/19vJNZY_5yjcGF2XGBMNZRCAIB0Kwfpjp8YEOfu-bneM/edit?usp=sharing"",""งานกองทุน!C40"")"),530)</f>
        <v>530</v>
      </c>
      <c r="J822" s="269">
        <f ca="1">IFERROR(__xludf.DUMMYFUNCTION("IMPORTRANGE(""https://docs.google.com/spreadsheets/d/19vJNZY_5yjcGF2XGBMNZRCAIB0Kwfpjp8YEOfu-bneM/edit?usp=sharing"",""งานกองทุน!E40"")"),2)</f>
        <v>2</v>
      </c>
      <c r="K822" s="496">
        <f t="shared" ca="1" si="334"/>
        <v>0.37735849056603776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69">
        <f ca="1">IFERROR(__xludf.DUMMYFUNCTION("IMPORTRANGE(""https://docs.google.com/spreadsheets/d/19vJNZY_5yjcGF2XGBMNZRCAIB0Kwfpjp8YEOfu-bneM/edit?usp=sharing"",""งานกองทุน!K40"")"),65309.16)</f>
        <v>65309.16</v>
      </c>
      <c r="K823" s="496">
        <f t="shared" ca="1" si="334"/>
        <v>1.6944022864964821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IFERROR(__xludf.DUMMYFUNCTION("IMPORTRANGE(""https://docs.google.com/spreadsheets/d/19vJNZY_5yjcGF2XGBMNZRCAIB0Kwfpjp8YEOfu-bneM/edit?usp=sharing"",""งานกองทุน!H40"")"),233)</f>
        <v>233</v>
      </c>
      <c r="J824" s="269">
        <f ca="1">IFERROR(__xludf.DUMMYFUNCTION("IMPORTRANGE(""https://docs.google.com/spreadsheets/d/19vJNZY_5yjcGF2XGBMNZRCAIB0Kwfpjp8YEOfu-bneM/edit?usp=sharing"",""งานกองทุน!J40"")"),16)</f>
        <v>16</v>
      </c>
      <c r="K824" s="496">
        <f t="shared" ca="1" si="334"/>
        <v>6.866952789699571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IFERROR(__xludf.DUMMYFUNCTION("IMPORTRANGE(""https://docs.google.com/spreadsheets/d/19vJNZY_5yjcGF2XGBMNZRCAIB0Kwfpjp8YEOfu-bneM/edit?usp=sharing"",""งานกองทุน!N40"")"),0)</f>
        <v>0</v>
      </c>
      <c r="J825" s="269">
        <f ca="1">IFERROR(__xludf.DUMMYFUNCTION("IMPORTRANGE(""https://docs.google.com/spreadsheets/d/19vJNZY_5yjcGF2XGBMNZRCAIB0Kwfpjp8YEOfu-bneM/edit?usp=sharing"",""งานกองทุน!P40"")"),0)</f>
        <v>0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IFERROR(__xludf.DUMMYFUNCTION("IMPORTRANGE(""https://docs.google.com/spreadsheets/d/19vJNZY_5yjcGF2XGBMNZRCAIB0Kwfpjp8YEOfu-bneM/edit?usp=sharing"",""งานกองทุน!M40"")"),0)</f>
        <v>0</v>
      </c>
      <c r="J826" s="269">
        <f ca="1">IFERROR(__xludf.DUMMYFUNCTION("IMPORTRANGE(""https://docs.google.com/spreadsheets/d/19vJNZY_5yjcGF2XGBMNZRCAIB0Kwfpjp8YEOfu-bneM/edit?usp=sharing"",""งานกองทุน!O40"")"),0)</f>
        <v>0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IFERROR(__xludf.DUMMYFUNCTION("IMPORTRANGE(""https://docs.google.com/spreadsheets/d/19vJNZY_5yjcGF2XGBMNZRCAIB0Kwfpjp8YEOfu-bneM/edit?usp=sharing"",""งานกองทุน!S40"")"),5080000)</f>
        <v>5080000</v>
      </c>
      <c r="J827" s="269">
        <f ca="1">IFERROR(__xludf.DUMMYFUNCTION("IMPORTRANGE(""https://docs.google.com/spreadsheets/d/19vJNZY_5yjcGF2XGBMNZRCAIB0Kwfpjp8YEOfu-bneM/edit?usp=sharing"",""งานกองทุน!U40"")"),0)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IFERROR(__xludf.DUMMYFUNCTION("IMPORTRANGE(""https://docs.google.com/spreadsheets/d/19vJNZY_5yjcGF2XGBMNZRCAIB0Kwfpjp8YEOfu-bneM/edit?usp=sharing"",""งานกองทุน!R40"")"),203)</f>
        <v>203</v>
      </c>
      <c r="J828" s="499">
        <f ca="1">IFERROR(__xludf.DUMMYFUNCTION("IMPORTRANGE(""https://docs.google.com/spreadsheets/d/19vJNZY_5yjcGF2XGBMNZRCAIB0Kwfpjp8YEOfu-bneM/edit?usp=sharing"",""งานกองทุน!T40"")"),26)</f>
        <v>26</v>
      </c>
      <c r="K828" s="500">
        <f t="shared" ca="1" si="334"/>
        <v>12.807881773399014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F07DE-0ADB-4F4E-9D20-2A6F99EE2AC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345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6086583</v>
      </c>
      <c r="M8" s="21">
        <f t="shared" ca="1" si="0"/>
        <v>2353755</v>
      </c>
      <c r="N8" s="21">
        <f t="shared" ca="1" si="0"/>
        <v>1702260.99</v>
      </c>
      <c r="O8" s="21">
        <f t="shared" ref="O8:O16" ca="1" si="1">IF(L8&gt;0,N8*100/L8,0)</f>
        <v>27.96743246580224</v>
      </c>
      <c r="P8" s="21">
        <f t="shared" ref="P8:P16" ca="1" si="2">IF(M8&gt;0,N8*100/M8,0)</f>
        <v>72.321078022139091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6086583</v>
      </c>
      <c r="M10" s="30">
        <f t="shared" ca="1" si="3"/>
        <v>2353755</v>
      </c>
      <c r="N10" s="30">
        <f t="shared" ca="1" si="3"/>
        <v>1702260.99</v>
      </c>
      <c r="O10" s="30">
        <f t="shared" ca="1" si="1"/>
        <v>27.96743246580224</v>
      </c>
      <c r="P10" s="30">
        <f t="shared" ca="1" si="2"/>
        <v>72.321078022139091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5699283</v>
      </c>
      <c r="M11" s="496">
        <f t="shared" ca="1" si="4"/>
        <v>1966455</v>
      </c>
      <c r="N11" s="496">
        <f t="shared" ca="1" si="4"/>
        <v>1314960.99</v>
      </c>
      <c r="O11" s="496">
        <f t="shared" ca="1" si="1"/>
        <v>23.072393316843542</v>
      </c>
      <c r="P11" s="496">
        <f t="shared" ca="1" si="2"/>
        <v>66.869620204886459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5699283</v>
      </c>
      <c r="M13" s="93">
        <f t="shared" ca="1" si="5"/>
        <v>1966455</v>
      </c>
      <c r="N13" s="93">
        <f t="shared" ca="1" si="5"/>
        <v>1314960.99</v>
      </c>
      <c r="O13" s="93">
        <f t="shared" ca="1" si="1"/>
        <v>23.072393316843542</v>
      </c>
      <c r="P13" s="93">
        <f t="shared" ca="1" si="2"/>
        <v>66.869620204886459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387300</v>
      </c>
      <c r="M14" s="496">
        <f t="shared" ca="1" si="6"/>
        <v>387300</v>
      </c>
      <c r="N14" s="496">
        <f t="shared" ca="1" si="6"/>
        <v>387300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387300</v>
      </c>
      <c r="N16" s="52">
        <f t="shared" ca="1" si="7"/>
        <v>387300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4165990</v>
      </c>
      <c r="M18" s="21">
        <f t="shared" ca="1" si="8"/>
        <v>2353755</v>
      </c>
      <c r="N18" s="21">
        <f t="shared" ca="1" si="8"/>
        <v>1533270.99</v>
      </c>
      <c r="O18" s="21">
        <f t="shared" ref="O18:O26" ca="1" si="9">IF(L18&gt;0,N18*100/L18,0)</f>
        <v>36.80448080768317</v>
      </c>
      <c r="P18" s="21">
        <f t="shared" ref="P18:P26" ca="1" si="10">IF(M18&gt;0,N18*100/M18,0)</f>
        <v>65.141486263438637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2353755</v>
      </c>
      <c r="N20" s="30">
        <f t="shared" ca="1" si="11"/>
        <v>1533270.99</v>
      </c>
      <c r="O20" s="30">
        <f t="shared" ca="1" si="9"/>
        <v>36.80448080768317</v>
      </c>
      <c r="P20" s="30">
        <f t="shared" ca="1" si="10"/>
        <v>65.141486263438637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3778690</v>
      </c>
      <c r="M21" s="496">
        <f t="shared" ca="1" si="12"/>
        <v>1966455</v>
      </c>
      <c r="N21" s="496">
        <f t="shared" ca="1" si="12"/>
        <v>1145970.99</v>
      </c>
      <c r="O21" s="496">
        <f t="shared" ca="1" si="9"/>
        <v>30.327203078315502</v>
      </c>
      <c r="P21" s="496">
        <f t="shared" ca="1" si="10"/>
        <v>58.275983432115154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3778690</v>
      </c>
      <c r="M23" s="93">
        <f t="shared" ca="1" si="13"/>
        <v>1966455</v>
      </c>
      <c r="N23" s="93">
        <f t="shared" ca="1" si="13"/>
        <v>1145970.99</v>
      </c>
      <c r="O23" s="93">
        <f t="shared" ca="1" si="9"/>
        <v>30.327203078315502</v>
      </c>
      <c r="P23" s="93">
        <f t="shared" ca="1" si="10"/>
        <v>58.275983432115154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387300</v>
      </c>
      <c r="M24" s="496">
        <f t="shared" ca="1" si="14"/>
        <v>387300</v>
      </c>
      <c r="N24" s="496">
        <f t="shared" ca="1" si="14"/>
        <v>387300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387300</v>
      </c>
      <c r="N26" s="52">
        <f t="shared" ca="1" si="15"/>
        <v>387300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1920593</v>
      </c>
      <c r="M28" s="21">
        <f t="shared" si="16"/>
        <v>0</v>
      </c>
      <c r="N28" s="21">
        <f t="shared" si="16"/>
        <v>168990</v>
      </c>
      <c r="O28" s="21">
        <f t="shared" ref="O28:O37" ca="1" si="17">IF(L28&gt;0,N28*100/L28,0)</f>
        <v>8.7988449400784035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1920593</v>
      </c>
      <c r="M30" s="30">
        <f t="shared" si="19"/>
        <v>0</v>
      </c>
      <c r="N30" s="30">
        <f t="shared" si="19"/>
        <v>168990</v>
      </c>
      <c r="O30" s="30">
        <f t="shared" ca="1" si="17"/>
        <v>8.7988449400784035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1920593</v>
      </c>
      <c r="M31" s="496">
        <f t="shared" si="20"/>
        <v>0</v>
      </c>
      <c r="N31" s="496">
        <f t="shared" si="20"/>
        <v>168990</v>
      </c>
      <c r="O31" s="496">
        <f t="shared" ca="1" si="17"/>
        <v>8.7988449400784035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1920593</v>
      </c>
      <c r="M33" s="93">
        <f t="shared" si="21"/>
        <v>0</v>
      </c>
      <c r="N33" s="93">
        <f t="shared" si="21"/>
        <v>168990</v>
      </c>
      <c r="O33" s="93">
        <f t="shared" ca="1" si="17"/>
        <v>8.7988449400784035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4165990</v>
      </c>
      <c r="M37" s="59">
        <f t="shared" ca="1" si="24"/>
        <v>2353755</v>
      </c>
      <c r="N37" s="59">
        <f t="shared" ca="1" si="24"/>
        <v>1533270.99</v>
      </c>
      <c r="O37" s="59">
        <f t="shared" ca="1" si="17"/>
        <v>36.80448080768317</v>
      </c>
      <c r="P37" s="59">
        <f t="shared" ca="1" si="18"/>
        <v>65.141486263438637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632700</v>
      </c>
      <c r="M41" s="84">
        <f t="shared" ca="1" si="25"/>
        <v>317700</v>
      </c>
      <c r="N41" s="84">
        <f t="shared" ca="1" si="25"/>
        <v>147907</v>
      </c>
      <c r="O41" s="84">
        <f t="shared" ref="O41:O49" ca="1" si="26">IF(L41&gt;0,N41*100/L41,0)</f>
        <v>23.377113956061326</v>
      </c>
      <c r="P41" s="84">
        <f t="shared" ref="P41:P49" ca="1" si="27">IF(M41&gt;0,N41*100/M41,0)</f>
        <v>46.555555555555557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317700</v>
      </c>
      <c r="N43" s="92">
        <f t="shared" ca="1" si="28"/>
        <v>147907</v>
      </c>
      <c r="O43" s="92">
        <f t="shared" ca="1" si="26"/>
        <v>23.377113956061326</v>
      </c>
      <c r="P43" s="92">
        <f t="shared" ca="1" si="27"/>
        <v>46.555555555555557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632700</v>
      </c>
      <c r="M44" s="496">
        <f t="shared" ca="1" si="29"/>
        <v>317700</v>
      </c>
      <c r="N44" s="496">
        <f t="shared" ca="1" si="29"/>
        <v>147907</v>
      </c>
      <c r="O44" s="496">
        <f t="shared" ca="1" si="26"/>
        <v>23.377113956061326</v>
      </c>
      <c r="P44" s="496">
        <f t="shared" ca="1" si="27"/>
        <v>46.555555555555557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IFERROR(__xludf.DUMMYFUNCTION("IMPORTRANGE(""https://docs.google.com/spreadsheets/d/1MeEWN-I1oV_STSDYn1IFDPWt_1FKiwhDph83XaGc0o0/edit?usp=sharing"",""งบพรบ!R41"")"),317700)</f>
        <v>317700</v>
      </c>
      <c r="N46" s="93">
        <f ca="1">IFERROR(__xludf.DUMMYFUNCTION("IMPORTRANGE(""https://docs.google.com/spreadsheets/d/1MeEWN-I1oV_STSDYn1IFDPWt_1FKiwhDph83XaGc0o0/edit?usp=sharing"",""งบพรบ!T41"")"),147907)</f>
        <v>147907</v>
      </c>
      <c r="O46" s="93">
        <f t="shared" ca="1" si="26"/>
        <v>23.377113956061326</v>
      </c>
      <c r="P46" s="93">
        <f t="shared" ca="1" si="27"/>
        <v>46.555555555555557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1011300</v>
      </c>
      <c r="M53" s="115">
        <f t="shared" ca="1" si="31"/>
        <v>653600</v>
      </c>
      <c r="N53" s="115">
        <f t="shared" ca="1" si="31"/>
        <v>466384.99</v>
      </c>
      <c r="O53" s="115">
        <f t="shared" ref="O53:O61" ca="1" si="32">IF(L53&gt;0,N53*100/L53,0)</f>
        <v>46.117372688618609</v>
      </c>
      <c r="P53" s="115">
        <f t="shared" ref="P53:P61" ca="1" si="33">IF(M53&gt;0,N53*100/M53,0)</f>
        <v>71.356332619339042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653600</v>
      </c>
      <c r="N55" s="123">
        <f t="shared" ca="1" si="34"/>
        <v>466384.99</v>
      </c>
      <c r="O55" s="123">
        <f t="shared" ca="1" si="32"/>
        <v>46.117372688618609</v>
      </c>
      <c r="P55" s="123">
        <f t="shared" ca="1" si="33"/>
        <v>71.356332619339042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845400</v>
      </c>
      <c r="M56" s="496">
        <f t="shared" ca="1" si="35"/>
        <v>487700</v>
      </c>
      <c r="N56" s="496">
        <f t="shared" ca="1" si="35"/>
        <v>300484.99</v>
      </c>
      <c r="O56" s="496">
        <f t="shared" ca="1" si="32"/>
        <v>35.54352850721552</v>
      </c>
      <c r="P56" s="496">
        <f t="shared" ca="1" si="33"/>
        <v>61.612669673979909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IFERROR(__xludf.DUMMYFUNCTION("IMPORTRANGE(""https://docs.google.com/spreadsheets/d/1MeEWN-I1oV_STSDYn1IFDPWt_1FKiwhDph83XaGc0o0/edit?usp=sharing"",""งบพรบ!AB41"")"),487700)</f>
        <v>487700</v>
      </c>
      <c r="N58" s="93">
        <f ca="1">IFERROR(__xludf.DUMMYFUNCTION("IMPORTRANGE(""https://docs.google.com/spreadsheets/d/1MeEWN-I1oV_STSDYn1IFDPWt_1FKiwhDph83XaGc0o0/edit?usp=sharing"",""งบพรบ!AD41"")"),300484.99)</f>
        <v>300484.99</v>
      </c>
      <c r="O58" s="93">
        <f t="shared" ca="1" si="32"/>
        <v>35.54352850721552</v>
      </c>
      <c r="P58" s="93">
        <f t="shared" ca="1" si="33"/>
        <v>61.612669673979909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165900</v>
      </c>
      <c r="M59" s="496">
        <f t="shared" ca="1" si="36"/>
        <v>165900</v>
      </c>
      <c r="N59" s="496">
        <f t="shared" ca="1" si="36"/>
        <v>165900</v>
      </c>
      <c r="O59" s="496">
        <f t="shared" ca="1" si="32"/>
        <v>100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697000</v>
      </c>
      <c r="M66" s="155">
        <f t="shared" ca="1" si="39"/>
        <v>335000</v>
      </c>
      <c r="N66" s="155">
        <f t="shared" ca="1" si="39"/>
        <v>299438</v>
      </c>
      <c r="O66" s="155">
        <f t="shared" ref="O66:O74" ca="1" si="40">IF(L66&gt;0,N66*100/L66,0)</f>
        <v>42.960975609756098</v>
      </c>
      <c r="P66" s="155">
        <f t="shared" ref="P66:P74" ca="1" si="41">IF(M66&gt;0,N66*100/M66,0)</f>
        <v>89.384477611940298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697000</v>
      </c>
      <c r="M68" s="93">
        <f t="shared" ca="1" si="42"/>
        <v>335000</v>
      </c>
      <c r="N68" s="93">
        <f t="shared" ca="1" si="42"/>
        <v>299438</v>
      </c>
      <c r="O68" s="93">
        <f t="shared" ca="1" si="40"/>
        <v>42.960975609756098</v>
      </c>
      <c r="P68" s="93">
        <f t="shared" ca="1" si="41"/>
        <v>89.384477611940298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697000</v>
      </c>
      <c r="M69" s="496">
        <f t="shared" ca="1" si="43"/>
        <v>335000</v>
      </c>
      <c r="N69" s="496">
        <f t="shared" ca="1" si="43"/>
        <v>299438</v>
      </c>
      <c r="O69" s="496">
        <f t="shared" ca="1" si="40"/>
        <v>42.960975609756098</v>
      </c>
      <c r="P69" s="496">
        <f t="shared" ca="1" si="41"/>
        <v>89.384477611940298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IFERROR(__xludf.DUMMYFUNCTION("IMPORTRANGE(""https://docs.google.com/spreadsheets/d/1MeEWN-I1oV_STSDYn1IFDPWt_1FKiwhDph83XaGc0o0/edit?usp=sharing"",""งบพรบ!AL41"")"),335000)</f>
        <v>335000</v>
      </c>
      <c r="N71" s="93">
        <f ca="1">IFERROR(__xludf.DUMMYFUNCTION("IMPORTRANGE(""https://docs.google.com/spreadsheets/d/1MeEWN-I1oV_STSDYn1IFDPWt_1FKiwhDph83XaGc0o0/edit?usp=sharing"",""งบพรบ!AN41"")"),299438)</f>
        <v>299438</v>
      </c>
      <c r="O71" s="93">
        <f t="shared" ca="1" si="40"/>
        <v>42.960975609756098</v>
      </c>
      <c r="P71" s="93">
        <f t="shared" ca="1" si="41"/>
        <v>89.384477611940298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40</v>
      </c>
      <c r="J77" s="269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4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4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111880</v>
      </c>
      <c r="M88" s="155">
        <f t="shared" ca="1" si="49"/>
        <v>43680</v>
      </c>
      <c r="N88" s="155">
        <f t="shared" ca="1" si="49"/>
        <v>41800</v>
      </c>
      <c r="O88" s="155">
        <f t="shared" ref="O88:O96" ca="1" si="50">IF(L88&gt;0,N88*100/L88,0)</f>
        <v>37.361458705756171</v>
      </c>
      <c r="P88" s="155">
        <f t="shared" ref="P88:P96" ca="1" si="51">IF(M88&gt;0,N88*100/M88,0)</f>
        <v>95.695970695970701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111880</v>
      </c>
      <c r="M90" s="93">
        <f t="shared" ca="1" si="52"/>
        <v>43680</v>
      </c>
      <c r="N90" s="93">
        <f t="shared" ca="1" si="52"/>
        <v>41800</v>
      </c>
      <c r="O90" s="93">
        <f t="shared" ca="1" si="50"/>
        <v>37.361458705756171</v>
      </c>
      <c r="P90" s="93">
        <f t="shared" ca="1" si="51"/>
        <v>95.695970695970701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111880</v>
      </c>
      <c r="M91" s="496">
        <f t="shared" ca="1" si="53"/>
        <v>43680</v>
      </c>
      <c r="N91" s="496">
        <f t="shared" ca="1" si="53"/>
        <v>41800</v>
      </c>
      <c r="O91" s="496">
        <f t="shared" ca="1" si="50"/>
        <v>37.361458705756171</v>
      </c>
      <c r="P91" s="496">
        <f t="shared" ca="1" si="51"/>
        <v>95.695970695970701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IFERROR(__xludf.DUMMYFUNCTION("IMPORTRANGE(""https://docs.google.com/spreadsheets/d/1MeEWN-I1oV_STSDYn1IFDPWt_1FKiwhDph83XaGc0o0/edit?usp=sharing"",""งบพรบ!AV41"")"),43680)</f>
        <v>43680</v>
      </c>
      <c r="N93" s="93">
        <f ca="1">IFERROR(__xludf.DUMMYFUNCTION("IMPORTRANGE(""https://docs.google.com/spreadsheets/d/1MeEWN-I1oV_STSDYn1IFDPWt_1FKiwhDph83XaGc0o0/edit?usp=sharing"",""งบพรบ!AX41"")"),41800)</f>
        <v>41800</v>
      </c>
      <c r="O93" s="93">
        <f t="shared" ca="1" si="50"/>
        <v>37.361458705756171</v>
      </c>
      <c r="P93" s="93">
        <f t="shared" ca="1" si="51"/>
        <v>95.695970695970701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IFERROR(__xludf.DUMMYFUNCTION("IMPORTRANGE(""https://docs.google.com/spreadsheets/d/1QqKyyYR6Q21VydFLVH3TRQUabQu_ym0Zz7PgGX0-kHA/edit?usp=sharing"",""แผน!K41"")"),60)</f>
        <v>60</v>
      </c>
      <c r="J98" s="269">
        <f>J102</f>
        <v>60</v>
      </c>
      <c r="K98" s="496">
        <f t="shared" ref="K98:K100" ca="1" si="55">IF(I98&gt;0,J98*100/I98,0)</f>
        <v>100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IFERROR(__xludf.DUMMYFUNCTION("IMPORTRANGE(""https://docs.google.com/spreadsheets/d/1QqKyyYR6Q21VydFLVH3TRQUabQu_ym0Zz7PgGX0-kHA/edit?usp=sharing"",""แผน!L41"")"),20)</f>
        <v>20</v>
      </c>
      <c r="J99" s="269">
        <f>J104</f>
        <v>20</v>
      </c>
      <c r="K99" s="496">
        <f t="shared" ca="1" si="55"/>
        <v>100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IFERROR(__xludf.DUMMYFUNCTION("IMPORTRANGE(""https://docs.google.com/spreadsheets/d/1QqKyyYR6Q21VydFLVH3TRQUabQu_ym0Zz7PgGX0-kHA/edit?usp=sharing"",""แผน!M41"")"),2)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IFERROR(__xludf.DUMMYFUNCTION("IMPORTRANGE(""https://docs.google.com/spreadsheets/d/1QqKyyYR6Q21VydFLVH3TRQUabQu_ym0Zz7PgGX0-kHA/edit?usp=sharing"",""แผน!N41"")"),60)</f>
        <v>60</v>
      </c>
      <c r="J102" s="214">
        <v>60</v>
      </c>
      <c r="K102" s="496">
        <f t="shared" ref="K102:K104" ca="1" si="56">IF(I102&gt;0,J102*100/I102,0)</f>
        <v>100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IFERROR(__xludf.DUMMYFUNCTION("IMPORTRANGE(""https://docs.google.com/spreadsheets/d/1QqKyyYR6Q21VydFLVH3TRQUabQu_ym0Zz7PgGX0-kHA/edit?usp=sharing"",""แผน!O41"")"),20)</f>
        <v>20</v>
      </c>
      <c r="J103" s="214">
        <v>20</v>
      </c>
      <c r="K103" s="496">
        <f t="shared" ca="1" si="56"/>
        <v>100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IFERROR(__xludf.DUMMYFUNCTION("IMPORTRANGE(""https://docs.google.com/spreadsheets/d/1QqKyyYR6Q21VydFLVH3TRQUabQu_ym0Zz7PgGX0-kHA/edit?usp=sharing"",""แผน!O41"")"),20)</f>
        <v>20</v>
      </c>
      <c r="J104" s="214">
        <v>20</v>
      </c>
      <c r="K104" s="496">
        <f t="shared" ca="1" si="56"/>
        <v>100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IFERROR(__xludf.DUMMYFUNCTION("IMPORTRANGE(""https://docs.google.com/spreadsheets/d/1QqKyyYR6Q21VydFLVH3TRQUabQu_ym0Zz7PgGX0-kHA/edit?usp=sharing"",""แผน!P41"")"),1)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IFERROR(__xludf.DUMMYFUNCTION("IMPORTRANGE(""https://docs.google.com/spreadsheets/d/1QqKyyYR6Q21VydFLVH3TRQUabQu_ym0Zz7PgGX0-kHA/edit?usp=sharing"",""แผน!P41"")"),1)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IFERROR(__xludf.DUMMYFUNCTION("IMPORTRANGE(""https://docs.google.com/spreadsheets/d/1QqKyyYR6Q21VydFLVH3TRQUabQu_ym0Zz7PgGX0-kHA/edit?usp=sharing"",""แผน!Q41"")"),1)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IFERROR(__xludf.DUMMYFUNCTION("IMPORTRANGE(""https://docs.google.com/spreadsheets/d/1QqKyyYR6Q21VydFLVH3TRQUabQu_ym0Zz7PgGX0-kHA/edit?usp=sharing"",""แผน!Q41"")"),1)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26800</v>
      </c>
      <c r="M125" s="496">
        <f t="shared" ca="1" si="65"/>
        <v>26800</v>
      </c>
      <c r="N125" s="496">
        <f t="shared" ca="1" si="65"/>
        <v>26800</v>
      </c>
      <c r="O125" s="496">
        <f t="shared" ca="1" si="61"/>
        <v>100</v>
      </c>
      <c r="P125" s="49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489055</v>
      </c>
      <c r="M132" s="155">
        <f t="shared" ca="1" si="69"/>
        <v>302300</v>
      </c>
      <c r="N132" s="155">
        <f t="shared" ca="1" si="69"/>
        <v>238956</v>
      </c>
      <c r="O132" s="155">
        <f t="shared" ref="O132:O140" ca="1" si="70">IF(L132&gt;0,N132*100/L132,0)</f>
        <v>48.860762081974421</v>
      </c>
      <c r="P132" s="155">
        <f t="shared" ref="P132:P140" ca="1" si="71">IF(M132&gt;0,N132*100/M132,0)</f>
        <v>79.045980813761162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489055</v>
      </c>
      <c r="M134" s="93">
        <f t="shared" ca="1" si="72"/>
        <v>302300</v>
      </c>
      <c r="N134" s="93">
        <f t="shared" ca="1" si="72"/>
        <v>238956</v>
      </c>
      <c r="O134" s="93">
        <f t="shared" ca="1" si="70"/>
        <v>48.860762081974421</v>
      </c>
      <c r="P134" s="93">
        <f t="shared" ca="1" si="71"/>
        <v>79.045980813761162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386055</v>
      </c>
      <c r="M135" s="496">
        <f t="shared" ca="1" si="73"/>
        <v>199300</v>
      </c>
      <c r="N135" s="496">
        <f t="shared" ca="1" si="73"/>
        <v>135956</v>
      </c>
      <c r="O135" s="496">
        <f t="shared" ca="1" si="70"/>
        <v>35.216743728225254</v>
      </c>
      <c r="P135" s="496">
        <f t="shared" ca="1" si="71"/>
        <v>68.216758655293532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IFERROR(__xludf.DUMMYFUNCTION("IMPORTRANGE(""https://docs.google.com/spreadsheets/d/1MeEWN-I1oV_STSDYn1IFDPWt_1FKiwhDph83XaGc0o0/edit?usp=sharing"",""งบพรบ!BP41"")"),199300)</f>
        <v>199300</v>
      </c>
      <c r="N137" s="93">
        <f ca="1">IFERROR(__xludf.DUMMYFUNCTION("IMPORTRANGE(""https://docs.google.com/spreadsheets/d/1MeEWN-I1oV_STSDYn1IFDPWt_1FKiwhDph83XaGc0o0/edit?usp=sharing"",""งบพรบ!BR41"")"),135956)</f>
        <v>135956</v>
      </c>
      <c r="O137" s="93">
        <f t="shared" ca="1" si="70"/>
        <v>35.216743728225254</v>
      </c>
      <c r="P137" s="93">
        <f t="shared" ca="1" si="71"/>
        <v>68.216758655293532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103000</v>
      </c>
      <c r="M138" s="496">
        <f t="shared" ca="1" si="74"/>
        <v>103000</v>
      </c>
      <c r="N138" s="496">
        <f t="shared" ca="1" si="74"/>
        <v>103000</v>
      </c>
      <c r="O138" s="496">
        <f t="shared" ca="1" si="70"/>
        <v>100</v>
      </c>
      <c r="P138" s="49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IFERROR(__xludf.DUMMYFUNCTION("IMPORTRANGE(""https://docs.google.com/spreadsheets/d/1QqKyyYR6Q21VydFLVH3TRQUabQu_ym0Zz7PgGX0-kHA/edit?usp=sharing"",""แผน!U41"")"),5)</f>
        <v>5</v>
      </c>
      <c r="J144" s="214">
        <v>10</v>
      </c>
      <c r="K144" s="496">
        <f t="shared" ca="1" si="75"/>
        <v>200</v>
      </c>
      <c r="L144" s="496"/>
      <c r="M144" s="496"/>
      <c r="N144" s="496"/>
      <c r="O144" s="496"/>
      <c r="P144" s="496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IFERROR(__xludf.DUMMYFUNCTION("IMPORTRANGE(""https://docs.google.com/spreadsheets/d/1QqKyyYR6Q21VydFLVH3TRQUabQu_ym0Zz7PgGX0-kHA/edit?usp=sharing"",""แผน!V41"")"),10)</f>
        <v>10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IFERROR(__xludf.DUMMYFUNCTION("IMPORTRANGE(""https://docs.google.com/spreadsheets/d/1QqKyyYR6Q21VydFLVH3TRQUabQu_ym0Zz7PgGX0-kHA/edit?usp=sharing"",""แผน!W41"")"),1)</f>
        <v>1</v>
      </c>
      <c r="J146" s="214">
        <v>1</v>
      </c>
      <c r="K146" s="496">
        <f t="shared" ca="1" si="75"/>
        <v>100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IFERROR(__xludf.DUMMYFUNCTION("IMPORTRANGE(""https://docs.google.com/spreadsheets/d/1MeEWN-I1oV_STSDYn1IFDPWt_1FKiwhDph83XaGc0o0/edit?usp=sharing"",""งบพรบ!BZ41"")"),0)</f>
        <v>0</v>
      </c>
      <c r="N154" s="93">
        <f ca="1">IFERROR(__xludf.DUMMYFUNCTION("IMPORTRANGE(""https://docs.google.com/spreadsheets/d/1MeEWN-I1oV_STSDYn1IFDPWt_1FKiwhDph83XaGc0o0/edit?usp=sharing"",""งบพรบ!CB41"")"),0)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IFERROR(__xludf.DUMMYFUNCTION("IMPORTRANGE(""https://docs.google.com/spreadsheets/d/1QqKyyYR6Q21VydFLVH3TRQUabQu_ym0Zz7PgGX0-kHA/edit?usp=sharing"",""แผน!X41"")"),0)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11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22055</v>
      </c>
      <c r="M165" s="154">
        <f t="shared" ca="1" si="84"/>
        <v>22055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IFERROR(__xludf.DUMMYFUNCTION("IMPORTRANGE(""https://docs.google.com/spreadsheets/d/1MeEWN-I1oV_STSDYn1IFDPWt_1FKiwhDph83XaGc0o0/edit?usp=sharing"",""งบพรบ!CJ41"")"),22055)</f>
        <v>22055</v>
      </c>
      <c r="N170" s="93">
        <f ca="1">IFERROR(__xludf.DUMMYFUNCTION("IMPORTRANGE(""https://docs.google.com/spreadsheets/d/1MeEWN-I1oV_STSDYn1IFDPWt_1FKiwhDph83XaGc0o0/edit?usp=sharing"",""งบพรบ!CL41"")"),0)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IFERROR(__xludf.DUMMYFUNCTION("IMPORTRANGE(""https://docs.google.com/spreadsheets/d/1QqKyyYR6Q21VydFLVH3TRQUabQu_ym0Zz7PgGX0-kHA/edit?usp=sharing"",""แผน!Y41"")"),11)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1">L182+L183</f>
        <v>72500</v>
      </c>
      <c r="M181" s="154">
        <f t="shared" ca="1" si="91"/>
        <v>39000</v>
      </c>
      <c r="N181" s="154">
        <f t="shared" ca="1" si="91"/>
        <v>0</v>
      </c>
      <c r="O181" s="154">
        <f t="shared" ref="O181:O189" ca="1" si="92">IF(L181&gt;0,N181*100/L181,0)</f>
        <v>0</v>
      </c>
      <c r="P181" s="154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72500</v>
      </c>
      <c r="M183" s="93">
        <f t="shared" ca="1" si="94"/>
        <v>39000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72500</v>
      </c>
      <c r="M184" s="496">
        <f t="shared" ca="1" si="95"/>
        <v>39000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IFERROR(__xludf.DUMMYFUNCTION("IMPORTRANGE(""https://docs.google.com/spreadsheets/d/1MeEWN-I1oV_STSDYn1IFDPWt_1FKiwhDph83XaGc0o0/edit?usp=sharing"",""งบพรบ!CT41"")"),39000)</f>
        <v>39000</v>
      </c>
      <c r="N186" s="93">
        <f ca="1">IFERROR(__xludf.DUMMYFUNCTION("IMPORTRANGE(""https://docs.google.com/spreadsheets/d/1MeEWN-I1oV_STSDYn1IFDPWt_1FKiwhDph83XaGc0o0/edit?usp=sharing"",""งบพรบ!CV41"")"),0)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IFERROR(__xludf.DUMMYFUNCTION("IMPORTRANGE(""https://docs.google.com/spreadsheets/d/1QqKyyYR6Q21VydFLVH3TRQUabQu_ym0Zz7PgGX0-kHA/edit?usp=sharing"",""แผน!AC41"")"),4)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IFERROR(__xludf.DUMMYFUNCTION("IMPORTRANGE(""https://docs.google.com/spreadsheets/d/1QqKyyYR6Q21VydFLVH3TRQUabQu_ym0Zz7PgGX0-kHA/edit?usp=sharing"",""แผน!AE41"")"),3000)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IFERROR(__xludf.DUMMYFUNCTION("IMPORTRANGE(""https://docs.google.com/spreadsheets/d/1QqKyyYR6Q21VydFLVH3TRQUabQu_ym0Zz7PgGX0-kHA/edit?usp=sharing"",""แผน!AF41"")"),24000)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IFERROR(__xludf.DUMMYFUNCTION("IMPORTRANGE(""https://docs.google.com/spreadsheets/d/1QqKyyYR6Q21VydFLVH3TRQUabQu_ym0Zz7PgGX0-kHA/edit?usp=sharing"",""แผน!AG41"")"),12000)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IFERROR(__xludf.DUMMYFUNCTION("IMPORTRANGE(""https://docs.google.com/spreadsheets/d/1QqKyyYR6Q21VydFLVH3TRQUabQu_ym0Zz7PgGX0-kHA/edit?usp=sharing"",""แผน!AH41"")"),0)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IFERROR(__xludf.DUMMYFUNCTION("IMPORTRANGE(""https://docs.google.com/spreadsheets/d/1QqKyyYR6Q21VydFLVH3TRQUabQu_ym0Zz7PgGX0-kHA/edit?usp=sharing"",""แผน!AI41"")"),3)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1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IFERROR(__xludf.DUMMYFUNCTION("IMPORTRANGE(""https://docs.google.com/spreadsheets/d/1QqKyyYR6Q21VydFLVH3TRQUabQu_ym0Zz7PgGX0-kHA/edit?usp=sharing"",""แผน!AK41"")"),1000)</f>
        <v>1000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IFERROR(__xludf.DUMMYFUNCTION("IMPORTRANGE(""https://docs.google.com/spreadsheets/d/1QqKyyYR6Q21VydFLVH3TRQUabQu_ym0Zz7PgGX0-kHA/edit?usp=sharing"",""แผน!AL41"")"),5000)</f>
        <v>5000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IFERROR(__xludf.DUMMYFUNCTION("IMPORTRANGE(""https://docs.google.com/spreadsheets/d/1QqKyyYR6Q21VydFLVH3TRQUabQu_ym0Zz7PgGX0-kHA/edit?usp=sharing"",""แผน!AM41"")"),8000)</f>
        <v>8000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IFERROR(__xludf.DUMMYFUNCTION("IMPORTRANGE(""https://docs.google.com/spreadsheets/d/1QqKyyYR6Q21VydFLVH3TRQUabQu_ym0Zz7PgGX0-kHA/edit?usp=sharing"",""แผน!AN41"")"),1)</f>
        <v>1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IFERROR(__xludf.DUMMYFUNCTION("IMPORTRANGE(""https://docs.google.com/spreadsheets/d/1QqKyyYR6Q21VydFLVH3TRQUabQu_ym0Zz7PgGX0-kHA/edit?usp=sharing"",""แผน!AN41"")"),1)</f>
        <v>1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30000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IFERROR(__xludf.DUMMYFUNCTION("IMPORTRANGE(""https://docs.google.com/spreadsheets/d/1QqKyyYR6Q21VydFLVH3TRQUabQu_ym0Zz7PgGX0-kHA/edit?usp=sharing"",""แผน!AP41"")"),5000)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IFERROR(__xludf.DUMMYFUNCTION("IMPORTRANGE(""https://docs.google.com/spreadsheets/d/1QqKyyYR6Q21VydFLVH3TRQUabQu_ym0Zz7PgGX0-kHA/edit?usp=sharing"",""แผน!AQ41"")"),8500)</f>
        <v>8500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IFERROR(__xludf.DUMMYFUNCTION("IMPORTRANGE(""https://docs.google.com/spreadsheets/d/1QqKyyYR6Q21VydFLVH3TRQUabQu_ym0Zz7PgGX0-kHA/edit?usp=sharing"",""แผน!AR41"")"),0)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IFERROR(__xludf.DUMMYFUNCTION("IMPORTRANGE(""https://docs.google.com/spreadsheets/d/1QqKyyYR6Q21VydFLVH3TRQUabQu_ym0Zz7PgGX0-kHA/edit?usp=sharing"",""แผน!AT41"")"),30000)</f>
        <v>30000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IFERROR(__xludf.DUMMYFUNCTION("IMPORTRANGE(""https://docs.google.com/spreadsheets/d/1QqKyyYR6Q21VydFLVH3TRQUabQu_ym0Zz7PgGX0-kHA/edit?usp=sharing"",""แผน!AT41"")"),30000)</f>
        <v>30000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IFERROR(__xludf.DUMMYFUNCTION("IMPORTRANGE(""https://docs.google.com/spreadsheets/d/1QqKyyYR6Q21VydFLVH3TRQUabQu_ym0Zz7PgGX0-kHA/edit?usp=sharing"",""แผน!AS41"")"),0)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IFERROR(__xludf.DUMMYFUNCTION("IMPORTRANGE(""https://docs.google.com/spreadsheets/d/1QqKyyYR6Q21VydFLVH3TRQUabQu_ym0Zz7PgGX0-kHA/edit?usp=sharing"",""แผน!AV41"")"),0)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IFERROR(__xludf.DUMMYFUNCTION("IMPORTRANGE(""https://docs.google.com/spreadsheets/d/1QqKyyYR6Q21VydFLVH3TRQUabQu_ym0Zz7PgGX0-kHA/edit?usp=sharing"",""แผน!AW41"")"),0)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IFERROR(__xludf.DUMMYFUNCTION("IMPORTRANGE(""https://docs.google.com/spreadsheets/d/1QqKyyYR6Q21VydFLVH3TRQUabQu_ym0Zz7PgGX0-kHA/edit?usp=sharing"",""แผน!AX41"")"),0)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IFERROR(__xludf.DUMMYFUNCTION("IMPORTRANGE(""https://docs.google.com/spreadsheets/d/1QqKyyYR6Q21VydFLVH3TRQUabQu_ym0Zz7PgGX0-kHA/edit?usp=sharing"",""แผน!AY41"")"),0)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IFERROR(__xludf.DUMMYFUNCTION("IMPORTRANGE(""https://docs.google.com/spreadsheets/d/1QqKyyYR6Q21VydFLVH3TRQUabQu_ym0Zz7PgGX0-kHA/edit?usp=sharing"",""แผน!BE41"")"),0)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IFERROR(__xludf.DUMMYFUNCTION("IMPORTRANGE(""https://docs.google.com/spreadsheets/d/1QqKyyYR6Q21VydFLVH3TRQUabQu_ym0Zz7PgGX0-kHA/edit?usp=sharing"",""แผน!AZ41"")"),0)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IFERROR(__xludf.DUMMYFUNCTION("IMPORTRANGE(""https://docs.google.com/spreadsheets/d/1QqKyyYR6Q21VydFLVH3TRQUabQu_ym0Zz7PgGX0-kHA/edit?usp=sharing"",""แผน!BA41"")"),0)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IFERROR(__xludf.DUMMYFUNCTION("IMPORTRANGE(""https://docs.google.com/spreadsheets/d/1QqKyyYR6Q21VydFLVH3TRQUabQu_ym0Zz7PgGX0-kHA/edit?usp=sharing"",""แผน!BB41"")"),0)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IFERROR(__xludf.DUMMYFUNCTION("IMPORTRANGE(""https://docs.google.com/spreadsheets/d/1QqKyyYR6Q21VydFLVH3TRQUabQu_ym0Zz7PgGX0-kHA/edit?usp=sharing"",""แผน!BC41"")"),0)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IFERROR(__xludf.DUMMYFUNCTION("IMPORTRANGE(""https://docs.google.com/spreadsheets/d/1QqKyyYR6Q21VydFLVH3TRQUabQu_ym0Zz7PgGX0-kHA/edit?usp=sharing"",""แผน!BF41"")"),0)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15680</v>
      </c>
      <c r="O261" s="155">
        <f t="shared" ref="O261:O269" ca="1" si="116">IF(L261&gt;0,N261*100/L261,0)</f>
        <v>58.289962825278813</v>
      </c>
      <c r="P261" s="155">
        <f t="shared" ref="P261:P269" ca="1" si="117">IF(M261&gt;0,N261*100/M261,0)</f>
        <v>65.606694560669453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15680</v>
      </c>
      <c r="O263" s="93">
        <f t="shared" ca="1" si="116"/>
        <v>58.289962825278813</v>
      </c>
      <c r="P263" s="93">
        <f t="shared" ca="1" si="117"/>
        <v>65.606694560669453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23900</v>
      </c>
      <c r="N264" s="496">
        <f t="shared" ca="1" si="119"/>
        <v>15680</v>
      </c>
      <c r="O264" s="496">
        <f t="shared" ca="1" si="116"/>
        <v>58.289962825278813</v>
      </c>
      <c r="P264" s="496">
        <f t="shared" ca="1" si="117"/>
        <v>65.606694560669453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IFERROR(__xludf.DUMMYFUNCTION("IMPORTRANGE(""https://docs.google.com/spreadsheets/d/1MeEWN-I1oV_STSDYn1IFDPWt_1FKiwhDph83XaGc0o0/edit?usp=sharing"",""งบพรบ!DD41"")"),23900)</f>
        <v>23900</v>
      </c>
      <c r="N266" s="93">
        <f ca="1">IFERROR(__xludf.DUMMYFUNCTION("IMPORTRANGE(""https://docs.google.com/spreadsheets/d/1MeEWN-I1oV_STSDYn1IFDPWt_1FKiwhDph83XaGc0o0/edit?usp=sharing"",""งบพรบ!DF41"")"),15680)</f>
        <v>15680</v>
      </c>
      <c r="O266" s="93">
        <f t="shared" ca="1" si="116"/>
        <v>58.289962825278813</v>
      </c>
      <c r="P266" s="93">
        <f t="shared" ca="1" si="117"/>
        <v>65.606694560669453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IFERROR(__xludf.DUMMYFUNCTION("IMPORTRANGE(""https://docs.google.com/spreadsheets/d/1QqKyyYR6Q21VydFLVH3TRQUabQu_ym0Zz7PgGX0-kHA/edit?usp=sharing"",""แผน!EA41"")"),22)</f>
        <v>22</v>
      </c>
      <c r="J271" s="214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5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50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22630</v>
      </c>
      <c r="M277" s="155">
        <f t="shared" ca="1" si="124"/>
        <v>9410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22630</v>
      </c>
      <c r="M279" s="93">
        <f t="shared" ca="1" si="127"/>
        <v>9410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22630</v>
      </c>
      <c r="M280" s="496">
        <f t="shared" ca="1" si="128"/>
        <v>9410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IFERROR(__xludf.DUMMYFUNCTION("IMPORTRANGE(""https://docs.google.com/spreadsheets/d/1MeEWN-I1oV_STSDYn1IFDPWt_1FKiwhDph83XaGc0o0/edit?usp=sharing"",""งบพรบ!DN41"")"),9410)</f>
        <v>9410</v>
      </c>
      <c r="N282" s="93">
        <f ca="1">IFERROR(__xludf.DUMMYFUNCTION("IMPORTRANGE(""https://docs.google.com/spreadsheets/d/1MeEWN-I1oV_STSDYn1IFDPWt_1FKiwhDph83XaGc0o0/edit?usp=sharing"",""งบพรบ!DP41"")"),0)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IFERROR(__xludf.DUMMYFUNCTION("IMPORTRANGE(""https://docs.google.com/spreadsheets/d/1QqKyyYR6Q21VydFLVH3TRQUabQu_ym0Zz7PgGX0-kHA/edit?usp=sharing"",""แผน!EC41"")"),50)</f>
        <v>50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IFERROR(__xludf.DUMMYFUNCTION("IMPORTRANGE(""https://docs.google.com/spreadsheets/d/1QqKyyYR6Q21VydFLVH3TRQUabQu_ym0Zz7PgGX0-kHA/edit?usp=sharing"",""แผน!EB41"")"),5)</f>
        <v>5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IFERROR(__xludf.DUMMYFUNCTION("IMPORTRANGE(""https://docs.google.com/spreadsheets/d/1QqKyyYR6Q21VydFLVH3TRQUabQu_ym0Zz7PgGX0-kHA/edit?usp=sharing"",""แผน!EB41"")"),5)</f>
        <v>5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20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82400</v>
      </c>
      <c r="M301" s="496">
        <f t="shared" ca="1" si="138"/>
        <v>49120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IFERROR(__xludf.DUMMYFUNCTION("IMPORTRANGE(""https://docs.google.com/spreadsheets/d/1MeEWN-I1oV_STSDYn1IFDPWt_1FKiwhDph83XaGc0o0/edit?usp=sharing"",""งบพรบ!DX41"")"),49120)</f>
        <v>49120</v>
      </c>
      <c r="N303" s="93">
        <f ca="1">IFERROR(__xludf.DUMMYFUNCTION("IMPORTRANGE(""https://docs.google.com/spreadsheets/d/1MeEWN-I1oV_STSDYn1IFDPWt_1FKiwhDph83XaGc0o0/edit?usp=sharing"",""งบพรบ!DZ41"")"),0)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IFERROR(__xludf.DUMMYFUNCTION("IMPORTRANGE(""https://docs.google.com/spreadsheets/d/1QqKyyYR6Q21VydFLVH3TRQUabQu_ym0Zz7PgGX0-kHA/edit?usp=sharing"",""แผน!ED41"")"),20)</f>
        <v>20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IFERROR(__xludf.DUMMYFUNCTION("IMPORTRANGE(""https://docs.google.com/spreadsheets/d/1QqKyyYR6Q21VydFLVH3TRQUabQu_ym0Zz7PgGX0-kHA/edit?usp=sharing"",""แผน!ED41"")"),20)</f>
        <v>20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IFERROR(__xludf.DUMMYFUNCTION("IMPORTRANGE(""https://docs.google.com/spreadsheets/d/1QqKyyYR6Q21VydFLVH3TRQUabQu_ym0Zz7PgGX0-kHA/edit?usp=sharing"",""แผน!ED41"")"),20)</f>
        <v>20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IFERROR(__xludf.DUMMYFUNCTION("IMPORTRANGE(""https://docs.google.com/spreadsheets/d/1QqKyyYR6Q21VydFLVH3TRQUabQu_ym0Zz7PgGX0-kHA/edit?usp=sharing"",""แผน!EE41"")"),4)</f>
        <v>4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IFERROR(__xludf.DUMMYFUNCTION("IMPORTRANGE(""https://docs.google.com/spreadsheets/d/1QqKyyYR6Q21VydFLVH3TRQUabQu_ym0Zz7PgGX0-kHA/edit?usp=sharing"",""แผน!EF41"")"),0)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IFERROR(__xludf.DUMMYFUNCTION("IMPORTRANGE(""https://docs.google.com/spreadsheets/d/1QqKyyYR6Q21VydFLVH3TRQUabQu_ym0Zz7PgGX0-kHA/edit?usp=sharing"",""แผน!EG41"")"),3200)</f>
        <v>3200</v>
      </c>
      <c r="J327" s="443">
        <f ca="1">J338+J341+J342+J343</f>
        <v>741</v>
      </c>
      <c r="K327" s="444">
        <f ca="1">IF(I327&gt;0,J327*100/I327,0)</f>
        <v>23.15625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179000</v>
      </c>
      <c r="M328" s="155">
        <f t="shared" ca="1" si="148"/>
        <v>89500</v>
      </c>
      <c r="N328" s="155">
        <f t="shared" ca="1" si="148"/>
        <v>68600</v>
      </c>
      <c r="O328" s="155">
        <f t="shared" ref="O328:O336" ca="1" si="149">IF(L328&gt;0,N328*100/L328,0)</f>
        <v>38.324022346368714</v>
      </c>
      <c r="P328" s="155">
        <f t="shared" ref="P328:P336" ca="1" si="150">IF(M328&gt;0,N328*100/M328,0)</f>
        <v>76.648044692737429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179000</v>
      </c>
      <c r="M330" s="93">
        <f t="shared" ca="1" si="151"/>
        <v>89500</v>
      </c>
      <c r="N330" s="93">
        <f t="shared" ca="1" si="151"/>
        <v>68600</v>
      </c>
      <c r="O330" s="93">
        <f t="shared" ca="1" si="149"/>
        <v>38.324022346368714</v>
      </c>
      <c r="P330" s="93">
        <f t="shared" ca="1" si="150"/>
        <v>76.648044692737429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179000</v>
      </c>
      <c r="M331" s="496">
        <f t="shared" ca="1" si="152"/>
        <v>89500</v>
      </c>
      <c r="N331" s="496">
        <f t="shared" ca="1" si="152"/>
        <v>68600</v>
      </c>
      <c r="O331" s="496">
        <f t="shared" ca="1" si="149"/>
        <v>38.324022346368714</v>
      </c>
      <c r="P331" s="496">
        <f t="shared" ca="1" si="150"/>
        <v>76.648044692737429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IFERROR(__xludf.DUMMYFUNCTION("IMPORTRANGE(""https://docs.google.com/spreadsheets/d/1MeEWN-I1oV_STSDYn1IFDPWt_1FKiwhDph83XaGc0o0/edit?usp=sharing"",""งบพรบ!ER41"")"),89500)</f>
        <v>89500</v>
      </c>
      <c r="N333" s="93">
        <f ca="1">IFERROR(__xludf.DUMMYFUNCTION("IMPORTRANGE(""https://docs.google.com/spreadsheets/d/1MeEWN-I1oV_STSDYn1IFDPWt_1FKiwhDph83XaGc0o0/edit?usp=sharing"",""งบพรบ!ET41"")"),68600)</f>
        <v>68600</v>
      </c>
      <c r="O333" s="93">
        <f t="shared" ca="1" si="149"/>
        <v>38.324022346368714</v>
      </c>
      <c r="P333" s="93">
        <f t="shared" ca="1" si="150"/>
        <v>76.648044692737429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IFERROR(__xludf.DUMMYFUNCTION("IMPORTRANGE(""https://docs.google.com/spreadsheets/d/1MeEWN-I1oV_STSDYn1IFDPWt_1FKiwhDph83XaGc0o0/edit?usp=sharing"",""งบพรบ!ES41"")"),0)</f>
        <v>0</v>
      </c>
      <c r="N336" s="93">
        <f ca="1">IFERROR(__xludf.DUMMYFUNCTION("IMPORTRANGE(""https://docs.google.com/spreadsheets/d/1MeEWN-I1oV_STSDYn1IFDPWt_1FKiwhDph83XaGc0o0/edit?usp=sharing"",""งบพรบ!EU41"")"),0)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IFERROR(__xludf.DUMMYFUNCTION("IMPORTRANGE(""https://docs.google.com/spreadsheets/d/1QqKyyYR6Q21VydFLVH3TRQUabQu_ym0Zz7PgGX0-kHA/edit?usp=sharing"",""แผน!EG41"")"),3200)</f>
        <v>3200</v>
      </c>
      <c r="J338" s="269">
        <f ca="1">IFERROR(__xludf.DUMMYFUNCTION("IMPORTRANGE(""https://docs.google.com/spreadsheets/d/1kVcqe37tkHyjCSG3S0O1AXqVkqjo8mSIZil3BcpIysc/edit?usp=sharing"",""ศูนย์!D41"")"),615)</f>
        <v>615</v>
      </c>
      <c r="K338" s="496">
        <f ca="1">IF(I338&gt;0,J338*100/I338,0)</f>
        <v>19.21875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IFERROR(__xludf.DUMMYFUNCTION("IMPORTRANGE(""https://docs.google.com/spreadsheets/d/1QqKyyYR6Q21VydFLVH3TRQUabQu_ym0Zz7PgGX0-kHA/edit?usp=sharing"",""แผน!EH41"")"),8)</f>
        <v>8</v>
      </c>
      <c r="J340" s="269">
        <f ca="1">IFERROR(__xludf.DUMMYFUNCTION("IMPORTRANGE(""https://docs.google.com/spreadsheets/d/1kVcqe37tkHyjCSG3S0O1AXqVkqjo8mSIZil3BcpIysc/edit?usp=sharing"",""ศูนย์!E41"")"),3)</f>
        <v>3</v>
      </c>
      <c r="K340" s="496">
        <f ca="1">IF(I340&gt;0,J340*100/I340,0)</f>
        <v>37.5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IFERROR(__xludf.DUMMYFUNCTION("IMPORTRANGE(""https://docs.google.com/spreadsheets/d/1kVcqe37tkHyjCSG3S0O1AXqVkqjo8mSIZil3BcpIysc/edit?usp=sharing"",""ศูนย์!F41"")"),126)</f>
        <v>126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IFERROR(__xludf.DUMMYFUNCTION("IMPORTRANGE(""https://docs.google.com/spreadsheets/d/1kVcqe37tkHyjCSG3S0O1AXqVkqjo8mSIZil3BcpIysc/edit?usp=sharing"",""ศูนย์!G41"")"),0)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IFERROR(__xludf.DUMMYFUNCTION("IMPORTRANGE(""https://docs.google.com/spreadsheets/d/1kVcqe37tkHyjCSG3S0O1AXqVkqjo8mSIZil3BcpIysc/edit?usp=sharing"",""ศูนย์!H41"")"),0)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791770</v>
      </c>
      <c r="M345" s="155">
        <f t="shared" ca="1" si="154"/>
        <v>441690</v>
      </c>
      <c r="N345" s="155">
        <f t="shared" ca="1" si="154"/>
        <v>227705</v>
      </c>
      <c r="O345" s="155">
        <f t="shared" ref="O345:O353" ca="1" si="155">IF(L345&gt;0,N345*100/L345,0)</f>
        <v>28.758983038003461</v>
      </c>
      <c r="P345" s="155">
        <f t="shared" ref="P345:P353" ca="1" si="156">IF(M345&gt;0,N345*100/M345,0)</f>
        <v>51.553125495256857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791770</v>
      </c>
      <c r="M347" s="93">
        <f t="shared" ca="1" si="157"/>
        <v>441690</v>
      </c>
      <c r="N347" s="93">
        <f t="shared" ca="1" si="157"/>
        <v>227705</v>
      </c>
      <c r="O347" s="93">
        <f t="shared" ca="1" si="155"/>
        <v>28.758983038003461</v>
      </c>
      <c r="P347" s="93">
        <f t="shared" ca="1" si="156"/>
        <v>51.553125495256857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700170</v>
      </c>
      <c r="M348" s="496">
        <f t="shared" ca="1" si="158"/>
        <v>350090</v>
      </c>
      <c r="N348" s="496">
        <f t="shared" ca="1" si="158"/>
        <v>136105</v>
      </c>
      <c r="O348" s="496">
        <f t="shared" ca="1" si="155"/>
        <v>19.438850564862818</v>
      </c>
      <c r="P348" s="496">
        <f t="shared" ca="1" si="156"/>
        <v>38.877145876774541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IFERROR(__xludf.DUMMYFUNCTION("IMPORTRANGE(""https://docs.google.com/spreadsheets/d/1MeEWN-I1oV_STSDYn1IFDPWt_1FKiwhDph83XaGc0o0/edit?usp=sharing"",""งบพรบ!FB41"")"),350090)</f>
        <v>350090</v>
      </c>
      <c r="N350" s="93">
        <f ca="1">IFERROR(__xludf.DUMMYFUNCTION("IMPORTRANGE(""https://docs.google.com/spreadsheets/d/1MeEWN-I1oV_STSDYn1IFDPWt_1FKiwhDph83XaGc0o0/edit?usp=sharing"",""งบพรบ!FD41"")"),136105)</f>
        <v>136105</v>
      </c>
      <c r="O350" s="93">
        <f t="shared" ca="1" si="155"/>
        <v>19.438850564862818</v>
      </c>
      <c r="P350" s="93">
        <f t="shared" ca="1" si="156"/>
        <v>38.877145876774541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91600</v>
      </c>
      <c r="M351" s="496">
        <f t="shared" ca="1" si="159"/>
        <v>91600</v>
      </c>
      <c r="N351" s="496">
        <f t="shared" ca="1" si="159"/>
        <v>91600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IFERROR(__xludf.DUMMYFUNCTION("IMPORTRANGE(""https://docs.google.com/spreadsheets/d/1QqKyyYR6Q21VydFLVH3TRQUabQu_ym0Zz7PgGX0-kHA/edit?usp=sharing"",""แผน!EP41"")"),530)</f>
        <v>530</v>
      </c>
      <c r="J355" s="463">
        <f ca="1">J362</f>
        <v>20</v>
      </c>
      <c r="K355" s="464">
        <f ca="1">IF(I355&gt;0,J355*100/I355,0)</f>
        <v>3.7735849056603774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IFERROR(__xludf.DUMMYFUNCTION("IMPORTRANGE(""https://docs.google.com/spreadsheets/d/1XWAQStnk-4SwqDmLtmXYiTMKHgktTP8We1SCoS47DrQ/edit?usp=sharing"",""จัดที่ดิน!W41"")"),27)</f>
        <v>27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IFERROR(__xludf.DUMMYFUNCTION("IMPORTRANGE(""https://docs.google.com/spreadsheets/d/1QqKyyYR6Q21VydFLVH3TRQUabQu_ym0Zz7PgGX0-kHA/edit?usp=sharing"",""แผน!EO41"")"),4700)</f>
        <v>4700</v>
      </c>
      <c r="J359" s="269">
        <f ca="1">IFERROR(__xludf.DUMMYFUNCTION("IMPORTRANGE(""https://docs.google.com/spreadsheets/d/1XWAQStnk-4SwqDmLtmXYiTMKHgktTP8We1SCoS47DrQ/edit?usp=sharing"",""จัดที่ดิน!X41"")"),186.9)</f>
        <v>186.9</v>
      </c>
      <c r="K359" s="496">
        <f t="shared" ca="1" si="160"/>
        <v>3.9765957446808509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IFERROR(__xludf.DUMMYFUNCTION("IMPORTRANGE(""https://docs.google.com/spreadsheets/d/1QqKyyYR6Q21VydFLVH3TRQUabQu_ym0Zz7PgGX0-kHA/edit?usp=sharing"",""แผน!EP41"")"),530)</f>
        <v>530</v>
      </c>
      <c r="J360" s="269">
        <f ca="1">IFERROR(__xludf.DUMMYFUNCTION("IMPORTRANGE(""https://docs.google.com/spreadsheets/d/1XWAQStnk-4SwqDmLtmXYiTMKHgktTP8We1SCoS47DrQ/edit?usp=sharing"",""จัดที่ดิน!Y41"")"),27)</f>
        <v>27</v>
      </c>
      <c r="K360" s="496">
        <f t="shared" ca="1" si="160"/>
        <v>5.0943396226415096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IFERROR(__xludf.DUMMYFUNCTION("IMPORTRANGE(""https://docs.google.com/spreadsheets/d/1XWAQStnk-4SwqDmLtmXYiTMKHgktTP8We1SCoS47DrQ/edit?usp=sharing"",""จัดที่ดิน!Z41"")"),186.9)</f>
        <v>186.9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IFERROR(__xludf.DUMMYFUNCTION("IMPORTRANGE(""https://docs.google.com/spreadsheets/d/1QqKyyYR6Q21VydFLVH3TRQUabQu_ym0Zz7PgGX0-kHA/edit?usp=sharing"",""แผน!EP41"")"),530)</f>
        <v>530</v>
      </c>
      <c r="J362" s="269">
        <f ca="1">IFERROR(__xludf.DUMMYFUNCTION("IMPORTRANGE(""https://docs.google.com/spreadsheets/d/1XWAQStnk-4SwqDmLtmXYiTMKHgktTP8We1SCoS47DrQ/edit?usp=sharing"",""จัดที่ดิน!AA41"")"),20)</f>
        <v>20</v>
      </c>
      <c r="K362" s="496">
        <f t="shared" ca="1" si="160"/>
        <v>3.7735849056603774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IFERROR(__xludf.DUMMYFUNCTION("IMPORTRANGE(""https://docs.google.com/spreadsheets/d/1XWAQStnk-4SwqDmLtmXYiTMKHgktTP8We1SCoS47DrQ/edit?usp=sharing"",""จัดที่ดิน!AB41"")"),120.39)</f>
        <v>120.39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1135</v>
      </c>
      <c r="J364" s="477">
        <f t="shared" ca="1" si="161"/>
        <v>78</v>
      </c>
      <c r="K364" s="478">
        <f t="shared" ca="1" si="160"/>
        <v>6.8722466960352424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IFERROR(__xludf.DUMMYFUNCTION("IMPORTRANGE(""https://docs.google.com/spreadsheets/d/1QqKyyYR6Q21VydFLVH3TRQUabQu_ym0Zz7PgGX0-kHA/edit?usp=sharing"",""แผน!EJ41"")"),140)</f>
        <v>140</v>
      </c>
      <c r="J365" s="489">
        <f ca="1">J372</f>
        <v>20</v>
      </c>
      <c r="K365" s="490">
        <f t="shared" ca="1" si="160"/>
        <v>14.285714285714286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IFERROR(__xludf.DUMMYFUNCTION("IMPORTRANGE(""https://docs.google.com/spreadsheets/d/1XWAQStnk-4SwqDmLtmXYiTMKHgktTP8We1SCoS47DrQ/edit?usp=sharing"",""จัดที่ดิน!E41"")"),21)</f>
        <v>21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IFERROR(__xludf.DUMMYFUNCTION("IMPORTRANGE(""https://docs.google.com/spreadsheets/d/1QqKyyYR6Q21VydFLVH3TRQUabQu_ym0Zz7PgGX0-kHA/edit?usp=sharing"",""แผน!EI41"")"),1400)</f>
        <v>1400</v>
      </c>
      <c r="J369" s="269">
        <f ca="1">IFERROR(__xludf.DUMMYFUNCTION("IMPORTRANGE(""https://docs.google.com/spreadsheets/d/1XWAQStnk-4SwqDmLtmXYiTMKHgktTP8We1SCoS47DrQ/edit?usp=sharing"",""จัดที่ดิน!F41"")"),126.39)</f>
        <v>126.39</v>
      </c>
      <c r="K369" s="496">
        <f t="shared" ca="1" si="162"/>
        <v>9.0278571428571421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IFERROR(__xludf.DUMMYFUNCTION("IMPORTRANGE(""https://docs.google.com/spreadsheets/d/1QqKyyYR6Q21VydFLVH3TRQUabQu_ym0Zz7PgGX0-kHA/edit?usp=sharing"",""แผน!EJ41"")"),140)</f>
        <v>140</v>
      </c>
      <c r="J370" s="269">
        <f ca="1">IFERROR(__xludf.DUMMYFUNCTION("IMPORTRANGE(""https://docs.google.com/spreadsheets/d/1XWAQStnk-4SwqDmLtmXYiTMKHgktTP8We1SCoS47DrQ/edit?usp=sharing"",""จัดที่ดิน!G41"")"),21)</f>
        <v>21</v>
      </c>
      <c r="K370" s="496">
        <f t="shared" ca="1" si="162"/>
        <v>15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IFERROR(__xludf.DUMMYFUNCTION("IMPORTRANGE(""https://docs.google.com/spreadsheets/d/1XWAQStnk-4SwqDmLtmXYiTMKHgktTP8We1SCoS47DrQ/edit?usp=sharing"",""จัดที่ดิน!H41"")"),126.39)</f>
        <v>126.39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IFERROR(__xludf.DUMMYFUNCTION("IMPORTRANGE(""https://docs.google.com/spreadsheets/d/1QqKyyYR6Q21VydFLVH3TRQUabQu_ym0Zz7PgGX0-kHA/edit?usp=sharing"",""แผน!EJ41"")"),140)</f>
        <v>140</v>
      </c>
      <c r="J372" s="269">
        <f ca="1">IFERROR(__xludf.DUMMYFUNCTION("IMPORTRANGE(""https://docs.google.com/spreadsheets/d/1XWAQStnk-4SwqDmLtmXYiTMKHgktTP8We1SCoS47DrQ/edit?usp=sharing"",""จัดที่ดิน!I41"")"),20)</f>
        <v>20</v>
      </c>
      <c r="K372" s="496">
        <f t="shared" ca="1" si="162"/>
        <v>14.285714285714286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IFERROR(__xludf.DUMMYFUNCTION("IMPORTRANGE(""https://docs.google.com/spreadsheets/d/1XWAQStnk-4SwqDmLtmXYiTMKHgktTP8We1SCoS47DrQ/edit?usp=sharing"",""จัดที่ดิน!J41"")"),120.39)</f>
        <v>120.39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IFERROR(__xludf.DUMMYFUNCTION("IMPORTRANGE(""https://docs.google.com/spreadsheets/d/1QqKyyYR6Q21VydFLVH3TRQUabQu_ym0Zz7PgGX0-kHA/edit?usp=sharing"",""แผน!EU41"")"),995)</f>
        <v>995</v>
      </c>
      <c r="J374" s="489">
        <f ca="1">J381</f>
        <v>58</v>
      </c>
      <c r="K374" s="490">
        <f t="shared" ca="1" si="162"/>
        <v>5.8291457286432165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IFERROR(__xludf.DUMMYFUNCTION("IMPORTRANGE(""https://docs.google.com/spreadsheets/d/1XWAQStnk-4SwqDmLtmXYiTMKHgktTP8We1SCoS47DrQ/edit?usp=sharing"",""จัดที่ดิน!AH41"")"),7)</f>
        <v>7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IFERROR(__xludf.DUMMYFUNCTION("IMPORTRANGE(""https://docs.google.com/spreadsheets/d/1QqKyyYR6Q21VydFLVH3TRQUabQu_ym0Zz7PgGX0-kHA/edit?usp=sharing"",""แผน!ET41"")"),3300)</f>
        <v>3300</v>
      </c>
      <c r="J378" s="269">
        <f ca="1">IFERROR(__xludf.DUMMYFUNCTION("IMPORTRANGE(""https://docs.google.com/spreadsheets/d/1XWAQStnk-4SwqDmLtmXYiTMKHgktTP8We1SCoS47DrQ/edit?usp=sharing"",""จัดที่ดิน!AI41"")"),67.22)</f>
        <v>67.22</v>
      </c>
      <c r="K378" s="496">
        <f t="shared" ca="1" si="163"/>
        <v>2.0369696969696971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IFERROR(__xludf.DUMMYFUNCTION("IMPORTRANGE(""https://docs.google.com/spreadsheets/d/1QqKyyYR6Q21VydFLVH3TRQUabQu_ym0Zz7PgGX0-kHA/edit?usp=sharing"",""แผน!EU41"")"),995)</f>
        <v>995</v>
      </c>
      <c r="J379" s="269">
        <f ca="1">IFERROR(__xludf.DUMMYFUNCTION("IMPORTRANGE(""https://docs.google.com/spreadsheets/d/1XWAQStnk-4SwqDmLtmXYiTMKHgktTP8We1SCoS47DrQ/edit?usp=sharing"",""จัดที่ดิน!AJ41"")"),65)</f>
        <v>65</v>
      </c>
      <c r="K379" s="496">
        <f t="shared" ca="1" si="163"/>
        <v>6.5326633165829149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IFERROR(__xludf.DUMMYFUNCTION("IMPORTRANGE(""https://docs.google.com/spreadsheets/d/1XWAQStnk-4SwqDmLtmXYiTMKHgktTP8We1SCoS47DrQ/edit?usp=sharing"",""จัดที่ดิน!AK41"")"),827.67)</f>
        <v>827.67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IFERROR(__xludf.DUMMYFUNCTION("IMPORTRANGE(""https://docs.google.com/spreadsheets/d/1QqKyyYR6Q21VydFLVH3TRQUabQu_ym0Zz7PgGX0-kHA/edit?usp=sharing"",""แผน!EU41"")"),995)</f>
        <v>995</v>
      </c>
      <c r="J381" s="269">
        <f ca="1">IFERROR(__xludf.DUMMYFUNCTION("IMPORTRANGE(""https://docs.google.com/spreadsheets/d/1XWAQStnk-4SwqDmLtmXYiTMKHgktTP8We1SCoS47DrQ/edit?usp=sharing"",""จัดที่ดิน!AL41"")"),58)</f>
        <v>58</v>
      </c>
      <c r="K381" s="496">
        <f t="shared" ca="1" si="163"/>
        <v>5.8291457286432165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IFERROR(__xludf.DUMMYFUNCTION("IMPORTRANGE(""https://docs.google.com/spreadsheets/d/1XWAQStnk-4SwqDmLtmXYiTMKHgktTP8We1SCoS47DrQ/edit?usp=sharing"",""จัดที่ดิน!AM41"")"),760.45)</f>
        <v>760.45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IFERROR(__xludf.DUMMYFUNCTION("IMPORTRANGE(""https://docs.google.com/spreadsheets/d/1QqKyyYR6Q21VydFLVH3TRQUabQu_ym0Zz7PgGX0-kHA/edit?usp=sharing"",""แผน!EW41"")"),50)</f>
        <v>50</v>
      </c>
      <c r="J385" s="499">
        <f ca="1">IFERROR(__xludf.DUMMYFUNCTION("IMPORTRANGE(""https://docs.google.com/spreadsheets/d/1XWAQStnk-4SwqDmLtmXYiTMKHgktTP8We1SCoS47DrQ/edit?usp=sharing"",""จัดที่ดิน!AP41"")"),0)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1920593</v>
      </c>
      <c r="M414" s="547">
        <f t="shared" si="180"/>
        <v>0</v>
      </c>
      <c r="N414" s="547">
        <f t="shared" si="180"/>
        <v>168990</v>
      </c>
      <c r="O414" s="547">
        <f ca="1">IF(L414&gt;0,N414*100/L414,0)</f>
        <v>8.7988449400784035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IFERROR(__xludf.DUMMYFUNCTION("IMPORTRANGE(""https://docs.google.com/spreadsheets/d/1QqKyyYR6Q21VydFLVH3TRQUabQu_ym0Zz7PgGX0-kHA/edit?usp=sharing"",""แผน!FC41"")"),20)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IFERROR(__xludf.DUMMYFUNCTION("IMPORTRANGE(""https://docs.google.com/spreadsheets/d/1QqKyyYR6Q21VydFLVH3TRQUabQu_ym0Zz7PgGX0-kHA/edit?usp=sharing"",""แผน!FD41"")"),0)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IFERROR(__xludf.DUMMYFUNCTION("IMPORTRANGE(""https://docs.google.com/spreadsheets/d/1QqKyyYR6Q21VydFLVH3TRQUabQu_ym0Zz7PgGX0-kHA/edit?usp=sharing"",""แผน!FE41"")"),0)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IFERROR(__xludf.DUMMYFUNCTION("IMPORTRANGE(""https://docs.google.com/spreadsheets/d/1QqKyyYR6Q21VydFLVH3TRQUabQu_ym0Zz7PgGX0-kHA/edit?usp=sharing"",""แผน!FF41"")"),20)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IFERROR(__xludf.DUMMYFUNCTION("IMPORTRANGE(""https://docs.google.com/spreadsheets/d/1QqKyyYR6Q21VydFLVH3TRQUabQu_ym0Zz7PgGX0-kHA/edit?usp=sharing"",""แผน!FG41"")"),1)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IFERROR(__xludf.DUMMYFUNCTION("IMPORTRANGE(""https://docs.google.com/spreadsheets/d/1QqKyyYR6Q21VydFLVH3TRQUabQu_ym0Zz7PgGX0-kHA/edit?usp=sharing"",""แผน!FH41"")"),0)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100</v>
      </c>
      <c r="J442" s="583">
        <f t="shared" si="194"/>
        <v>80</v>
      </c>
      <c r="K442" s="584">
        <f t="shared" ca="1" si="193"/>
        <v>80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280</v>
      </c>
      <c r="J443" s="563">
        <f t="shared" si="195"/>
        <v>230</v>
      </c>
      <c r="K443" s="564">
        <f t="shared" ca="1" si="193"/>
        <v>82.142857142857139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616680</v>
      </c>
      <c r="M444" s="195">
        <f t="shared" si="196"/>
        <v>0</v>
      </c>
      <c r="N444" s="195">
        <f t="shared" si="196"/>
        <v>67620</v>
      </c>
      <c r="O444" s="195">
        <f t="shared" ref="O444:O449" ca="1" si="197">IF(L444&gt;0,N444*100/L444,0)</f>
        <v>10.965168320684958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616680</v>
      </c>
      <c r="M446" s="93">
        <f t="shared" si="199"/>
        <v>0</v>
      </c>
      <c r="N446" s="93">
        <f t="shared" si="199"/>
        <v>67620</v>
      </c>
      <c r="O446" s="93">
        <f t="shared" ca="1" si="197"/>
        <v>10.965168320684958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616680</v>
      </c>
      <c r="M447" s="496">
        <f t="shared" si="200"/>
        <v>0</v>
      </c>
      <c r="N447" s="496">
        <f t="shared" si="200"/>
        <v>67620</v>
      </c>
      <c r="O447" s="496">
        <f t="shared" ca="1" si="197"/>
        <v>10.965168320684958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v>0</v>
      </c>
      <c r="N449" s="93">
        <f>N450+N451+N452+N453</f>
        <v>67620</v>
      </c>
      <c r="O449" s="93">
        <f t="shared" ca="1" si="197"/>
        <v>10.965168320684958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f>21600+18640</f>
        <v>40240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13000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f>8380+6000</f>
        <v>14380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IFERROR(__xludf.DUMMYFUNCTION("IMPORTRANGE(""https://docs.google.com/spreadsheets/d/1QqKyyYR6Q21VydFLVH3TRQUabQu_ym0Zz7PgGX0-kHA/edit?usp=sharing"",""แผน!FN41"")"),100)</f>
        <v>100</v>
      </c>
      <c r="J460" s="214">
        <v>80</v>
      </c>
      <c r="K460" s="496">
        <f ca="1">IF(I460&gt;0,J460*100/I460,0)</f>
        <v>80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IFERROR(__xludf.DUMMYFUNCTION("IMPORTRANGE(""https://docs.google.com/spreadsheets/d/1QqKyyYR6Q21VydFLVH3TRQUabQu_ym0Zz7PgGX0-kHA/edit?usp=sharing"",""แผน!FO41"")"),280)</f>
        <v>280</v>
      </c>
      <c r="J462" s="214">
        <v>230</v>
      </c>
      <c r="K462" s="496">
        <f ca="1">IF(I462&gt;0,J462*100/I462,0)</f>
        <v>82.142857142857139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IFERROR(__xludf.DUMMYFUNCTION("IMPORTRANGE(""https://docs.google.com/spreadsheets/d/1QqKyyYR6Q21VydFLVH3TRQUabQu_ym0Zz7PgGX0-kHA/edit?usp=sharing"",""แผน!FO41"")"),280)</f>
        <v>280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IFERROR(__xludf.DUMMYFUNCTION("IMPORTRANGE(""https://docs.google.com/spreadsheets/d/1QqKyyYR6Q21VydFLVH3TRQUabQu_ym0Zz7PgGX0-kHA/edit?usp=sharing"",""แผน!FN41"")"),100)</f>
        <v>100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IFERROR(__xludf.DUMMYFUNCTION("IMPORTRANGE(""https://docs.google.com/spreadsheets/d/1QqKyyYR6Q21VydFLVH3TRQUabQu_ym0Zz7PgGX0-kHA/edit?usp=sharing"",""แผน!FX41"")"),61)</f>
        <v>61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IFERROR(__xludf.DUMMYFUNCTION("IMPORTRANGE(""https://docs.google.com/spreadsheets/d/1QqKyyYR6Q21VydFLVH3TRQUabQu_ym0Zz7PgGX0-kHA/edit?usp=sharing"",""แผน!FW41"")"),600)</f>
        <v>600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481323</v>
      </c>
      <c r="M467" s="195">
        <f t="shared" si="205"/>
        <v>0</v>
      </c>
      <c r="N467" s="195">
        <f t="shared" si="205"/>
        <v>8000</v>
      </c>
      <c r="O467" s="195">
        <f t="shared" ref="O467:O472" ca="1" si="206">IF(L467&gt;0,N467*100/L467,0)</f>
        <v>1.6620855433877042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481323</v>
      </c>
      <c r="M469" s="93">
        <f t="shared" si="208"/>
        <v>0</v>
      </c>
      <c r="N469" s="93">
        <f t="shared" si="208"/>
        <v>8000</v>
      </c>
      <c r="O469" s="93">
        <f t="shared" ca="1" si="206"/>
        <v>1.6620855433877042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481323</v>
      </c>
      <c r="M470" s="496">
        <f t="shared" si="209"/>
        <v>0</v>
      </c>
      <c r="N470" s="496">
        <f t="shared" si="209"/>
        <v>8000</v>
      </c>
      <c r="O470" s="496">
        <f t="shared" ca="1" si="206"/>
        <v>1.6620855433877042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IFERROR(__xludf.DUMMYFUNCTION("IMPORTRANGE(""https://docs.google.com/spreadsheets/d/1QqKyyYR6Q21VydFLVH3TRQUabQu_ym0Zz7PgGX0-kHA/edit?usp=sharing"",""แผน!FS41"")"),481323)</f>
        <v>481323</v>
      </c>
      <c r="M472" s="93">
        <v>0</v>
      </c>
      <c r="N472" s="93">
        <f>N473+N474+N475+N476</f>
        <v>8000</v>
      </c>
      <c r="O472" s="93">
        <f t="shared" ca="1" si="206"/>
        <v>1.6620855433877042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8000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IFERROR(__xludf.DUMMYFUNCTION("IMPORTRANGE(""https://docs.google.com/spreadsheets/d/1QqKyyYR6Q21VydFLVH3TRQUabQu_ym0Zz7PgGX0-kHA/edit?usp=sharing"",""แผน!FY41"")"),540)</f>
        <v>540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IFERROR(__xludf.DUMMYFUNCTION("IMPORTRANGE(""https://docs.google.com/spreadsheets/d/1QqKyyYR6Q21VydFLVH3TRQUabQu_ym0Zz7PgGX0-kHA/edit?usp=sharing"",""แผน!FZ41"")"),54)</f>
        <v>54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IFERROR(__xludf.DUMMYFUNCTION("IMPORTRANGE(""https://docs.google.com/spreadsheets/d/1QqKyyYR6Q21VydFLVH3TRQUabQu_ym0Zz7PgGX0-kHA/edit?usp=sharing"",""แผน!GA41"")"),60)</f>
        <v>60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IFERROR(__xludf.DUMMYFUNCTION("IMPORTRANGE(""https://docs.google.com/spreadsheets/d/1QqKyyYR6Q21VydFLVH3TRQUabQu_ym0Zz7PgGX0-kHA/edit?usp=sharing"",""แผน!GB41"")"),6)</f>
        <v>6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IFERROR(__xludf.DUMMYFUNCTION("IMPORTRANGE(""https://docs.google.com/spreadsheets/d/1QqKyyYR6Q21VydFLVH3TRQUabQu_ym0Zz7PgGX0-kHA/edit?usp=sharing"",""แผน!GC41"")"),1)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IFERROR(__xludf.DUMMYFUNCTION("IMPORTRANGE(""https://docs.google.com/spreadsheets/d/1QqKyyYR6Q21VydFLVH3TRQUabQu_ym0Zz7PgGX0-kHA/edit?usp=sharing"",""แผน!FY41"")"),540)</f>
        <v>540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IFERROR(__xludf.DUMMYFUNCTION("IMPORTRANGE(""https://docs.google.com/spreadsheets/d/1QqKyyYR6Q21VydFLVH3TRQUabQu_ym0Zz7PgGX0-kHA/edit?usp=sharing"",""แผน!GA41"")"),60)</f>
        <v>60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IFERROR(__xludf.DUMMYFUNCTION("IMPORTRANGE(""https://docs.google.com/spreadsheets/d/1QqKyyYR6Q21VydFLVH3TRQUabQu_ym0Zz7PgGX0-kHA/edit?usp=sharing"",""แผน!GU41"")"),0)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IFERROR(__xludf.DUMMYFUNCTION("IMPORTRANGE(""https://docs.google.com/spreadsheets/d/1QqKyyYR6Q21VydFLVH3TRQUabQu_ym0Zz7PgGX0-kHA/edit?usp=sharing"",""แผน!GV41"")"),0)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IFERROR(__xludf.DUMMYFUNCTION("IMPORTRANGE(""https://docs.google.com/spreadsheets/d/1QqKyyYR6Q21VydFLVH3TRQUabQu_ym0Zz7PgGX0-kHA/edit?usp=sharing"",""แผน!GW41"")"),0)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IFERROR(__xludf.DUMMYFUNCTION("IMPORTRANGE(""https://docs.google.com/spreadsheets/d/1QqKyyYR6Q21VydFLVH3TRQUabQu_ym0Zz7PgGX0-kHA/edit?usp=sharing"",""แผน!GX41"")"),0)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IFERROR(__xludf.DUMMYFUNCTION("IMPORTRANGE(""https://docs.google.com/spreadsheets/d/1QqKyyYR6Q21VydFLVH3TRQUabQu_ym0Zz7PgGX0-kHA/edit?usp=sharing"",""แผน!GY41"")"),0)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IFERROR(__xludf.DUMMYFUNCTION("IMPORTRANGE(""https://docs.google.com/spreadsheets/d/1QqKyyYR6Q21VydFLVH3TRQUabQu_ym0Zz7PgGX0-kHA/edit?usp=sharing"",""แผน!GZ41"")"),0)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38042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324435</v>
      </c>
      <c r="M544" s="155">
        <f t="shared" si="235"/>
        <v>0</v>
      </c>
      <c r="N544" s="155">
        <f t="shared" si="235"/>
        <v>41810</v>
      </c>
      <c r="O544" s="155">
        <f t="shared" ref="O544:O549" ca="1" si="236">IF(L544&gt;0,N544*100/L544,0)</f>
        <v>12.887018971442663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324435</v>
      </c>
      <c r="M546" s="93">
        <f t="shared" si="239"/>
        <v>0</v>
      </c>
      <c r="N546" s="93">
        <f t="shared" si="239"/>
        <v>41810</v>
      </c>
      <c r="O546" s="93">
        <f t="shared" ca="1" si="236"/>
        <v>12.887018971442663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324435</v>
      </c>
      <c r="M547" s="496">
        <f t="shared" si="240"/>
        <v>0</v>
      </c>
      <c r="N547" s="496">
        <f t="shared" si="240"/>
        <v>41810</v>
      </c>
      <c r="O547" s="496">
        <f t="shared" ca="1" si="236"/>
        <v>12.887018971442663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IFERROR(__xludf.DUMMYFUNCTION("IMPORTRANGE(""https://docs.google.com/spreadsheets/d/1QqKyyYR6Q21VydFLVH3TRQUabQu_ym0Zz7PgGX0-kHA/edit?usp=sharing"",""แผน!HB41"")"),324435)</f>
        <v>324435</v>
      </c>
      <c r="M549" s="93">
        <v>0</v>
      </c>
      <c r="N549" s="93">
        <f>N550+N551+N552+N553+N554</f>
        <v>41810</v>
      </c>
      <c r="O549" s="93">
        <f t="shared" ca="1" si="236"/>
        <v>12.887018971442663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13000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f>14850+12000+1960</f>
        <v>28810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38042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IFERROR(__xludf.DUMMYFUNCTION("IMPORTRANGE(""https://docs.google.com/spreadsheets/d/1QqKyyYR6Q21VydFLVH3TRQUabQu_ym0Zz7PgGX0-kHA/edit?usp=sharing"",""แผน!HH41"")"),38042)</f>
        <v>38042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IFERROR(__xludf.DUMMYFUNCTION("IMPORTRANGE(""https://docs.google.com/spreadsheets/d/1QqKyyYR6Q21VydFLVH3TRQUabQu_ym0Zz7PgGX0-kHA/edit?usp=sharing"",""แผน!HH41"")"),38042)</f>
        <v>38042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IFERROR(__xludf.DUMMYFUNCTION("IMPORTRANGE(""https://docs.google.com/spreadsheets/d/1QqKyyYR6Q21VydFLVH3TRQUabQu_ym0Zz7PgGX0-kHA/edit?usp=sharing"",""แผน!HH41"")"),38042)</f>
        <v>38042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391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IFERROR(__xludf.DUMMYFUNCTION("IMPORTRANGE(""https://docs.google.com/spreadsheets/d/1QqKyyYR6Q21VydFLVH3TRQUabQu_ym0Zz7PgGX0-kHA/edit?usp=sharing"",""แผน!HJ41"")"),391)</f>
        <v>391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IFERROR(__xludf.DUMMYFUNCTION("IMPORTRANGE(""https://docs.google.com/spreadsheets/d/1QqKyyYR6Q21VydFLVH3TRQUabQu_ym0Zz7PgGX0-kHA/edit?usp=sharing"",""แผน!HL41"")"),0)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IFERROR(__xludf.DUMMYFUNCTION("IMPORTRANGE(""https://docs.google.com/spreadsheets/d/1QqKyyYR6Q21VydFLVH3TRQUabQu_ym0Zz7PgGX0-kHA/edit?usp=sharing"",""แผน!HK41"")"),0)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205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419495</v>
      </c>
      <c r="M629" s="195">
        <f t="shared" si="262"/>
        <v>0</v>
      </c>
      <c r="N629" s="195">
        <f t="shared" si="262"/>
        <v>51560</v>
      </c>
      <c r="O629" s="195">
        <f t="shared" ref="O629:O634" ca="1" si="263">IF(L629&gt;0,N629*100/L629,0)</f>
        <v>12.290968903085853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419495</v>
      </c>
      <c r="M631" s="93">
        <f t="shared" si="265"/>
        <v>0</v>
      </c>
      <c r="N631" s="93">
        <f t="shared" si="265"/>
        <v>51560</v>
      </c>
      <c r="O631" s="93">
        <f t="shared" ca="1" si="263"/>
        <v>12.290968903085853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419495</v>
      </c>
      <c r="M632" s="496">
        <f t="shared" si="266"/>
        <v>0</v>
      </c>
      <c r="N632" s="496">
        <f t="shared" si="266"/>
        <v>51560</v>
      </c>
      <c r="O632" s="496">
        <f t="shared" ca="1" si="263"/>
        <v>12.290968903085853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v>0</v>
      </c>
      <c r="N634" s="93">
        <f>N635+N636+N637+N638</f>
        <v>51560</v>
      </c>
      <c r="O634" s="93">
        <f t="shared" ca="1" si="263"/>
        <v>12.290968903085853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13000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f>9400+18000+11160</f>
        <v>38560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IFERROR(__xludf.DUMMYFUNCTION("IMPORTRANGE(""https://docs.google.com/spreadsheets/d/1QqKyyYR6Q21VydFLVH3TRQUabQu_ym0Zz7PgGX0-kHA/edit?usp=sharing"",""แผน!HR41"")"),0)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IFERROR(__xludf.DUMMYFUNCTION("IMPORTRANGE(""https://docs.google.com/spreadsheets/d/1QqKyyYR6Q21VydFLVH3TRQUabQu_ym0Zz7PgGX0-kHA/edit?usp=sharing"",""แผน!HR41"")"),0)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IFERROR(__xludf.DUMMYFUNCTION("IMPORTRANGE(""https://docs.google.com/spreadsheets/d/1XWAQStnk-4SwqDmLtmXYiTMKHgktTP8We1SCoS47DrQ/edit?usp=sharing"",""จัดที่ดิน!AS41"")"),47)</f>
        <v>47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IFERROR(__xludf.DUMMYFUNCTION("IMPORTRANGE(""https://docs.google.com/spreadsheets/d/1XWAQStnk-4SwqDmLtmXYiTMKHgktTP8We1SCoS47DrQ/edit?usp=sharing"",""จัดที่ดิน!AT41"")"),18.39)</f>
        <v>18.39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IFERROR(__xludf.DUMMYFUNCTION("IMPORTRANGE(""https://docs.google.com/spreadsheets/d/1QqKyyYR6Q21VydFLVH3TRQUabQu_ym0Zz7PgGX0-kHA/edit?usp=sharing"",""แผน!HS41"")"),205)</f>
        <v>205</v>
      </c>
      <c r="J647" s="269">
        <f ca="1">IFERROR(__xludf.DUMMYFUNCTION("IMPORTRANGE(""https://docs.google.com/spreadsheets/d/1XWAQStnk-4SwqDmLtmXYiTMKHgktTP8We1SCoS47DrQ/edit?usp=sharing"",""จัดที่ดิน!AU41"")"),47)</f>
        <v>47</v>
      </c>
      <c r="K647" s="163">
        <f t="shared" ca="1" si="270"/>
        <v>22.926829268292682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IFERROR(__xludf.DUMMYFUNCTION("IMPORTRANGE(""https://docs.google.com/spreadsheets/d/1XWAQStnk-4SwqDmLtmXYiTMKHgktTP8We1SCoS47DrQ/edit?usp=sharing"",""จัดที่ดิน!AV41"")"),18.39)</f>
        <v>18.39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IFERROR(__xludf.DUMMYFUNCTION("IMPORTRANGE(""https://docs.google.com/spreadsheets/d/1QqKyyYR6Q21VydFLVH3TRQUabQu_ym0Zz7PgGX0-kHA/edit?usp=sharing"",""แผน!HS41"")"),205)</f>
        <v>205</v>
      </c>
      <c r="J649" s="269">
        <f ca="1">IFERROR(__xludf.DUMMYFUNCTION("IMPORTRANGE(""https://docs.google.com/spreadsheets/d/1XWAQStnk-4SwqDmLtmXYiTMKHgktTP8We1SCoS47DrQ/edit?usp=sharing"",""จัดที่ดิน!AW41"")"),0)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IFERROR(__xludf.DUMMYFUNCTION("IMPORTRANGE(""https://docs.google.com/spreadsheets/d/1XWAQStnk-4SwqDmLtmXYiTMKHgktTP8We1SCoS47DrQ/edit?usp=sharing"",""จัดที่ดิน!AX41"")"),0)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IFERROR(__xludf.DUMMYFUNCTION("IMPORTRANGE(""https://docs.google.com/spreadsheets/d/1QqKyyYR6Q21VydFLVH3TRQUabQu_ym0Zz7PgGX0-kHA/edit?usp=sharing"",""แผน!HS41"")"),205)</f>
        <v>205</v>
      </c>
      <c r="J651" s="269">
        <f ca="1">IFERROR(__xludf.DUMMYFUNCTION("IMPORTRANGE(""https://docs.google.com/spreadsheets/d/1XWAQStnk-4SwqDmLtmXYiTMKHgktTP8We1SCoS47DrQ/edit?usp=sharing"",""จัดที่ดิน!AY41"")"),0)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IFERROR(__xludf.DUMMYFUNCTION("IMPORTRANGE(""https://docs.google.com/spreadsheets/d/1XWAQStnk-4SwqDmLtmXYiTMKHgktTP8We1SCoS47DrQ/edit?usp=sharing"",""จัดที่ดิน!AZ41"")"),0)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 hidden="1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IFERROR(__xludf.DUMMYFUNCTION("IMPORTRANGE(""https://docs.google.com/spreadsheets/d/1QqKyyYR6Q21VydFLVH3TRQUabQu_ym0Zz7PgGX0-kHA/edit?usp=sharing"",""แผน!IA41"")"),0)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IFERROR(__xludf.DUMMYFUNCTION("IMPORTRANGE(""https://docs.google.com/spreadsheets/d/1QqKyyYR6Q21VydFLVH3TRQUabQu_ym0Zz7PgGX0-kHA/edit?usp=sharing"",""แผน!HZ41"")"),0)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IFERROR(__xludf.DUMMYFUNCTION("IMPORTRANGE(""https://docs.google.com/spreadsheets/d/1QqKyyYR6Q21VydFLVH3TRQUabQu_ym0Zz7PgGX0-kHA/edit?usp=sharing"",""แผน!HZ41"")"),0)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IFERROR(__xludf.DUMMYFUNCTION("IMPORTRANGE(""https://docs.google.com/spreadsheets/d/1QqKyyYR6Q21VydFLVH3TRQUabQu_ym0Zz7PgGX0-kHA/edit?usp=sharing"",""แผน!IB41"")"),0)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IFERROR(__xludf.DUMMYFUNCTION("IMPORTRANGE(""https://docs.google.com/spreadsheets/d/1QqKyyYR6Q21VydFLVH3TRQUabQu_ym0Zz7PgGX0-kHA/edit?usp=sharing"",""แผน!IC41"")"),0)</f>
        <v>0</v>
      </c>
      <c r="J699" s="269">
        <f ca="1">IFERROR(__xludf.DUMMYFUNCTION("IMPORTRANGE(""https://docs.google.com/spreadsheets/d/1XWAQStnk-4SwqDmLtmXYiTMKHgktTP8We1SCoS47DrQ/edit?usp=sharing"",""จัดที่ดิน!BB41"")"),0)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IFERROR(__xludf.DUMMYFUNCTION("IMPORTRANGE(""https://docs.google.com/spreadsheets/d/1QqKyyYR6Q21VydFLVH3TRQUabQu_ym0Zz7PgGX0-kHA/edit?usp=sharing"",""แผน!ID41"")"),0)</f>
        <v>0</v>
      </c>
      <c r="J700" s="269">
        <f ca="1">IFERROR(__xludf.DUMMYFUNCTION("IMPORTRANGE(""https://docs.google.com/spreadsheets/d/1XWAQStnk-4SwqDmLtmXYiTMKHgktTP8We1SCoS47DrQ/edit?usp=sharing"",""จัดที่ดิน!BD41"")"),0)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IFERROR(__xludf.DUMMYFUNCTION("IMPORTRANGE(""https://docs.google.com/spreadsheets/d/1QqKyyYR6Q21VydFLVH3TRQUabQu_ym0Zz7PgGX0-kHA/edit?usp=sharing"",""แผน!IE41"")"),0)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IFERROR(__xludf.DUMMYFUNCTION("IMPORTRANGE(""https://docs.google.com/spreadsheets/d/1QqKyyYR6Q21VydFLVH3TRQUabQu_ym0Zz7PgGX0-kHA/edit?usp=sharing"",""แผน!IF41"")"),0)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IFERROR(__xludf.DUMMYFUNCTION("IMPORTRANGE(""https://docs.google.com/spreadsheets/d/1QqKyyYR6Q21VydFLVH3TRQUabQu_ym0Zz7PgGX0-kHA/edit?usp=sharing"",""แผน!IG41"")"),0)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IFERROR(__xludf.DUMMYFUNCTION("IMPORTRANGE(""https://docs.google.com/spreadsheets/d/1QqKyyYR6Q21VydFLVH3TRQUabQu_ym0Zz7PgGX0-kHA/edit?usp=sharing"",""แผน!IH41"")"),0)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IFERROR(__xludf.DUMMYFUNCTION("IMPORTRANGE(""https://docs.google.com/spreadsheets/d/1XWAQStnk-4SwqDmLtmXYiTMKHgktTP8We1SCoS47DrQ/edit?usp=sharing"",""จัดที่ดิน!BF41"")"),0)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IFERROR(__xludf.DUMMYFUNCTION("IMPORTRANGE(""https://docs.google.com/spreadsheets/d/1XWAQStnk-4SwqDmLtmXYiTMKHgktTP8We1SCoS47DrQ/edit?usp=sharing"",""จัดที่ดิน!BG41"")"),0)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IFERROR(__xludf.DUMMYFUNCTION("IMPORTRANGE(""https://docs.google.com/spreadsheets/d/1QqKyyYR6Q21VydFLVH3TRQUabQu_ym0Zz7PgGX0-kHA/edit?usp=sharing"",""แผน!II41"")"),0)</f>
        <v>0</v>
      </c>
      <c r="J720" s="269">
        <f ca="1">IFERROR(__xludf.DUMMYFUNCTION("IMPORTRANGE(""https://docs.google.com/spreadsheets/d/1XWAQStnk-4SwqDmLtmXYiTMKHgktTP8We1SCoS47DrQ/edit?usp=sharing"",""จัดที่ดิน!BH41"")"),0)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IFERROR(__xludf.DUMMYFUNCTION("IMPORTRANGE(""https://docs.google.com/spreadsheets/d/1QqKyyYR6Q21VydFLVH3TRQUabQu_ym0Zz7PgGX0-kHA/edit?usp=sharing"",""แผน!IJ41"")"),0)</f>
        <v>0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IFERROR(__xludf.DUMMYFUNCTION("IMPORTRANGE(""https://docs.google.com/spreadsheets/d/1QqKyyYR6Q21VydFLVH3TRQUabQu_ym0Zz7PgGX0-kHA/edit?usp=sharing"",""แผน!IK41"")"),0)</f>
        <v>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IFERROR(__xludf.DUMMYFUNCTION("IMPORTRANGE(""https://docs.google.com/spreadsheets/d/1QqKyyYR6Q21VydFLVH3TRQUabQu_ym0Zz7PgGX0-kHA/edit?usp=sharing"",""แผน!IL41"")"),0)</f>
        <v>0</v>
      </c>
      <c r="J723" s="269">
        <f ca="1">IFERROR(__xludf.DUMMYFUNCTION("IMPORTRANGE(""https://docs.google.com/spreadsheets/d/1XWAQStnk-4SwqDmLtmXYiTMKHgktTP8We1SCoS47DrQ/edit?usp=sharing"",""จัดที่ดิน!BM41"")"),0)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IFERROR(__xludf.DUMMYFUNCTION("IMPORTRANGE(""https://docs.google.com/spreadsheets/d/1XWAQStnk-4SwqDmLtmXYiTMKHgktTP8We1SCoS47DrQ/edit?usp=sharing"",""จัดที่ดิน!BN41"")"),0)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IFERROR(__xludf.DUMMYFUNCTION("IMPORTRANGE(""https://docs.google.com/spreadsheets/d/1QqKyyYR6Q21VydFLVH3TRQUabQu_ym0Zz7PgGX0-kHA/edit?usp=sharing"",""แผน!IM41"")"),0)</f>
        <v>0</v>
      </c>
      <c r="J725" s="269">
        <f ca="1">IFERROR(__xludf.DUMMYFUNCTION("IMPORTRANGE(""https://docs.google.com/spreadsheets/d/1XWAQStnk-4SwqDmLtmXYiTMKHgktTP8We1SCoS47DrQ/edit?usp=sharing"",""จัดที่ดิน!BO41"")"),0)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IFERROR(__xludf.DUMMYFUNCTION("IMPORTRANGE(""https://docs.google.com/spreadsheets/d/1QqKyyYR6Q21VydFLVH3TRQUabQu_ym0Zz7PgGX0-kHA/edit?usp=sharing"",""แผน!IN41"")"),0)</f>
        <v>0</v>
      </c>
      <c r="J726" s="269">
        <f ca="1">IFERROR(__xludf.DUMMYFUNCTION("IMPORTRANGE(""https://docs.google.com/spreadsheets/d/1XWAQStnk-4SwqDmLtmXYiTMKHgktTP8We1SCoS47DrQ/edit?usp=sharing"",""จัดที่ดิน!BR41"")"),0)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IFERROR(__xludf.DUMMYFUNCTION("IMPORTRANGE(""https://docs.google.com/spreadsheets/d/1XWAQStnk-4SwqDmLtmXYiTMKHgktTP8We1SCoS47DrQ/edit?usp=sharing"",""จัดที่ดิน!BS41"")"),0)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IFERROR(__xludf.DUMMYFUNCTION("IMPORTRANGE(""https://docs.google.com/spreadsheets/d/1QqKyyYR6Q21VydFLVH3TRQUabQu_ym0Zz7PgGX0-kHA/edit?usp=sharing"",""แผน!IO41"")"),0)</f>
        <v>0</v>
      </c>
      <c r="J728" s="269">
        <f ca="1">IFERROR(__xludf.DUMMYFUNCTION("IMPORTRANGE(""https://docs.google.com/spreadsheets/d/1XWAQStnk-4SwqDmLtmXYiTMKHgktTP8We1SCoS47DrQ/edit?usp=sharing"",""จัดที่ดิน!BT41"")"),0)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IFERROR(__xludf.DUMMYFUNCTION("IMPORTRANGE(""https://docs.google.com/spreadsheets/d/1QqKyyYR6Q21VydFLVH3TRQUabQu_ym0Zz7PgGX0-kHA/edit?usp=sharing"",""แผน!IP41"")"),0)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IFERROR(__xludf.DUMMYFUNCTION("IMPORTRANGE(""https://docs.google.com/spreadsheets/d/1MaWodYyGHDf7siQLGxnXhG4mBNTNIuy296niS2xXulU/edit?usp=sharing"",""RTK!I41"")"),0)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69">
        <f ca="1">IFERROR(__xludf.DUMMYFUNCTION("IMPORTRANGE(""https://docs.google.com/spreadsheets/d/19vJNZY_5yjcGF2XGBMNZRCAIB0Kwfpjp8YEOfu-bneM/edit?usp=sharing"",""งานกองทุน!F41"")"),10000)</f>
        <v>10000</v>
      </c>
      <c r="K821" s="496">
        <f t="shared" ref="K821:K828" ca="1" si="334">IF(I821&gt;0,J821*100/I821,0)</f>
        <v>0.14239406900451612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IFERROR(__xludf.DUMMYFUNCTION("IMPORTRANGE(""https://docs.google.com/spreadsheets/d/19vJNZY_5yjcGF2XGBMNZRCAIB0Kwfpjp8YEOfu-bneM/edit?usp=sharing"",""งานกองทุน!C41"")"),650)</f>
        <v>650</v>
      </c>
      <c r="J822" s="269">
        <f ca="1">IFERROR(__xludf.DUMMYFUNCTION("IMPORTRANGE(""https://docs.google.com/spreadsheets/d/19vJNZY_5yjcGF2XGBMNZRCAIB0Kwfpjp8YEOfu-bneM/edit?usp=sharing"",""งานกองทุน!E41"")"),1)</f>
        <v>1</v>
      </c>
      <c r="K822" s="496">
        <f t="shared" ca="1" si="334"/>
        <v>0.15384615384615385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69">
        <f ca="1">IFERROR(__xludf.DUMMYFUNCTION("IMPORTRANGE(""https://docs.google.com/spreadsheets/d/19vJNZY_5yjcGF2XGBMNZRCAIB0Kwfpjp8YEOfu-bneM/edit?usp=sharing"",""งานกองทุน!K41"")"),33151.91)</f>
        <v>33151.910000000003</v>
      </c>
      <c r="K823" s="496">
        <f t="shared" ca="1" si="334"/>
        <v>0.77183469040362807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IFERROR(__xludf.DUMMYFUNCTION("IMPORTRANGE(""https://docs.google.com/spreadsheets/d/19vJNZY_5yjcGF2XGBMNZRCAIB0Kwfpjp8YEOfu-bneM/edit?usp=sharing"",""งานกองทุน!H41"")"),251)</f>
        <v>251</v>
      </c>
      <c r="J824" s="269">
        <f ca="1">IFERROR(__xludf.DUMMYFUNCTION("IMPORTRANGE(""https://docs.google.com/spreadsheets/d/19vJNZY_5yjcGF2XGBMNZRCAIB0Kwfpjp8YEOfu-bneM/edit?usp=sharing"",""งานกองทุน!J41"")"),8)</f>
        <v>8</v>
      </c>
      <c r="K824" s="496">
        <f t="shared" ca="1" si="334"/>
        <v>3.1872509960159361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IFERROR(__xludf.DUMMYFUNCTION("IMPORTRANGE(""https://docs.google.com/spreadsheets/d/19vJNZY_5yjcGF2XGBMNZRCAIB0Kwfpjp8YEOfu-bneM/edit?usp=sharing"",""งานกองทุน!N41"")"),0)</f>
        <v>0</v>
      </c>
      <c r="J825" s="269">
        <f ca="1">IFERROR(__xludf.DUMMYFUNCTION("IMPORTRANGE(""https://docs.google.com/spreadsheets/d/19vJNZY_5yjcGF2XGBMNZRCAIB0Kwfpjp8YEOfu-bneM/edit?usp=sharing"",""งานกองทุน!P41"")"),0)</f>
        <v>0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IFERROR(__xludf.DUMMYFUNCTION("IMPORTRANGE(""https://docs.google.com/spreadsheets/d/19vJNZY_5yjcGF2XGBMNZRCAIB0Kwfpjp8YEOfu-bneM/edit?usp=sharing"",""งานกองทุน!M41"")"),0)</f>
        <v>0</v>
      </c>
      <c r="J826" s="269">
        <f ca="1">IFERROR(__xludf.DUMMYFUNCTION("IMPORTRANGE(""https://docs.google.com/spreadsheets/d/19vJNZY_5yjcGF2XGBMNZRCAIB0Kwfpjp8YEOfu-bneM/edit?usp=sharing"",""งานกองทุน!O41"")"),0)</f>
        <v>0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IFERROR(__xludf.DUMMYFUNCTION("IMPORTRANGE(""https://docs.google.com/spreadsheets/d/19vJNZY_5yjcGF2XGBMNZRCAIB0Kwfpjp8YEOfu-bneM/edit?usp=sharing"",""งานกองทุน!S41"")"),8000000)</f>
        <v>8000000</v>
      </c>
      <c r="J827" s="269">
        <f ca="1">IFERROR(__xludf.DUMMYFUNCTION("IMPORTRANGE(""https://docs.google.com/spreadsheets/d/19vJNZY_5yjcGF2XGBMNZRCAIB0Kwfpjp8YEOfu-bneM/edit?usp=sharing"",""งานกองทุน!U41"")"),0)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IFERROR(__xludf.DUMMYFUNCTION("IMPORTRANGE(""https://docs.google.com/spreadsheets/d/19vJNZY_5yjcGF2XGBMNZRCAIB0Kwfpjp8YEOfu-bneM/edit?usp=sharing"",""งานกองทุน!R41"")"),258)</f>
        <v>258</v>
      </c>
      <c r="J828" s="499">
        <f ca="1">IFERROR(__xludf.DUMMYFUNCTION("IMPORTRANGE(""https://docs.google.com/spreadsheets/d/19vJNZY_5yjcGF2XGBMNZRCAIB0Kwfpjp8YEOfu-bneM/edit?usp=sharing"",""งานกองทุน!T41"")"),27)</f>
        <v>27</v>
      </c>
      <c r="K828" s="500">
        <f t="shared" ca="1" si="334"/>
        <v>10.465116279069768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A44D2-CCED-4314-9FC9-A659986F5B93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activeCell="G418" sqref="G418"/>
      <selection pane="bottomLeft" activeCell="A3" sqref="A3:P3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346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7460529</v>
      </c>
      <c r="M8" s="22">
        <f t="shared" ca="1" si="0"/>
        <v>2730782</v>
      </c>
      <c r="N8" s="22">
        <f t="shared" ca="1" si="0"/>
        <v>1469026.69</v>
      </c>
      <c r="O8" s="22">
        <f t="shared" ref="O8:O16" ca="1" si="1">IF(L8&gt;0,N8*100/L8,0)</f>
        <v>19.690650488725396</v>
      </c>
      <c r="P8" s="22">
        <f t="shared" ref="P8:P16" ca="1" si="2">IF(M8&gt;0,N8*100/M8,0)</f>
        <v>53.795092028583753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7460529</v>
      </c>
      <c r="M10" s="30">
        <f t="shared" ca="1" si="3"/>
        <v>2730782</v>
      </c>
      <c r="N10" s="30">
        <f t="shared" ca="1" si="3"/>
        <v>1469026.69</v>
      </c>
      <c r="O10" s="30">
        <f t="shared" ca="1" si="1"/>
        <v>19.690650488725396</v>
      </c>
      <c r="P10" s="30">
        <f t="shared" ca="1" si="2"/>
        <v>53.795092028583753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7135829</v>
      </c>
      <c r="M11" s="496">
        <f t="shared" ca="1" si="4"/>
        <v>2406082</v>
      </c>
      <c r="N11" s="496">
        <f t="shared" ca="1" si="4"/>
        <v>1144326.69</v>
      </c>
      <c r="O11" s="496">
        <f t="shared" ca="1" si="1"/>
        <v>16.036352468648001</v>
      </c>
      <c r="P11" s="496">
        <f t="shared" ca="1" si="2"/>
        <v>47.559754405710194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7135829</v>
      </c>
      <c r="M13" s="93">
        <f t="shared" ca="1" si="5"/>
        <v>2406082</v>
      </c>
      <c r="N13" s="93">
        <f t="shared" ca="1" si="5"/>
        <v>1144326.69</v>
      </c>
      <c r="O13" s="93">
        <f t="shared" ca="1" si="1"/>
        <v>16.036352468648001</v>
      </c>
      <c r="P13" s="93">
        <f t="shared" ca="1" si="2"/>
        <v>47.559754405710194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324700</v>
      </c>
      <c r="M14" s="496">
        <f t="shared" ca="1" si="6"/>
        <v>324700</v>
      </c>
      <c r="N14" s="496">
        <f t="shared" ca="1" si="6"/>
        <v>324700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2730782</v>
      </c>
      <c r="N18" s="22">
        <f t="shared" ca="1" si="8"/>
        <v>1469026.69</v>
      </c>
      <c r="O18" s="22">
        <f t="shared" ref="O18:O26" ca="1" si="9">IF(L18&gt;0,N18*100/L18,0)</f>
        <v>29.059530601167268</v>
      </c>
      <c r="P18" s="22">
        <f t="shared" ref="P18:P26" ca="1" si="10">IF(M18&gt;0,N18*100/M18,0)</f>
        <v>53.795092028583753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2730782</v>
      </c>
      <c r="N20" s="30">
        <f t="shared" ca="1" si="11"/>
        <v>1469026.69</v>
      </c>
      <c r="O20" s="30">
        <f t="shared" ca="1" si="9"/>
        <v>29.059530601167268</v>
      </c>
      <c r="P20" s="30">
        <f t="shared" ca="1" si="10"/>
        <v>53.795092028583753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4730532</v>
      </c>
      <c r="M21" s="496">
        <f t="shared" ca="1" si="12"/>
        <v>2406082</v>
      </c>
      <c r="N21" s="496">
        <f t="shared" ca="1" si="12"/>
        <v>1144326.69</v>
      </c>
      <c r="O21" s="496">
        <f t="shared" ca="1" si="9"/>
        <v>24.190232515074413</v>
      </c>
      <c r="P21" s="496">
        <f t="shared" ca="1" si="10"/>
        <v>47.559754405710194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4730532</v>
      </c>
      <c r="M23" s="93">
        <f t="shared" ca="1" si="13"/>
        <v>2406082</v>
      </c>
      <c r="N23" s="93">
        <f t="shared" ca="1" si="13"/>
        <v>1144326.69</v>
      </c>
      <c r="O23" s="93">
        <f t="shared" ca="1" si="9"/>
        <v>24.190232515074413</v>
      </c>
      <c r="P23" s="93">
        <f t="shared" ca="1" si="10"/>
        <v>47.559754405710194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324700</v>
      </c>
      <c r="M24" s="496">
        <f t="shared" ca="1" si="14"/>
        <v>324700</v>
      </c>
      <c r="N24" s="496">
        <f t="shared" ca="1" si="14"/>
        <v>324700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2405297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2405297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2405297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2405297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5055232</v>
      </c>
      <c r="M37" s="59">
        <f t="shared" ca="1" si="24"/>
        <v>2730782</v>
      </c>
      <c r="N37" s="59">
        <f t="shared" ca="1" si="24"/>
        <v>1469026.69</v>
      </c>
      <c r="O37" s="59">
        <f t="shared" ca="1" si="17"/>
        <v>29.059530601167268</v>
      </c>
      <c r="P37" s="59">
        <f t="shared" ca="1" si="18"/>
        <v>53.795092028583753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467892</v>
      </c>
      <c r="N41" s="85">
        <f t="shared" ca="1" si="25"/>
        <v>236643</v>
      </c>
      <c r="O41" s="85">
        <f t="shared" ref="O41:O49" ca="1" si="26">IF(L41&gt;0,N41*100/L41,0)</f>
        <v>25.432029506970505</v>
      </c>
      <c r="P41" s="85">
        <f t="shared" ref="P41:P49" ca="1" si="27">IF(M41&gt;0,N41*100/M41,0)</f>
        <v>50.576415070144392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467892</v>
      </c>
      <c r="N43" s="92">
        <f t="shared" ca="1" si="28"/>
        <v>236643</v>
      </c>
      <c r="O43" s="92">
        <f t="shared" ca="1" si="26"/>
        <v>25.432029506970505</v>
      </c>
      <c r="P43" s="92">
        <f t="shared" ca="1" si="27"/>
        <v>50.576415070144392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930492</v>
      </c>
      <c r="M44" s="496">
        <f t="shared" ca="1" si="29"/>
        <v>467892</v>
      </c>
      <c r="N44" s="496">
        <f t="shared" ca="1" si="29"/>
        <v>236643</v>
      </c>
      <c r="O44" s="496">
        <f t="shared" ca="1" si="26"/>
        <v>25.432029506970505</v>
      </c>
      <c r="P44" s="496">
        <f t="shared" ca="1" si="27"/>
        <v>50.576415070144392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IFERROR(__xludf.DUMMYFUNCTION("IMPORTRANGE(""https://docs.google.com/spreadsheets/d/1MeEWN-I1oV_STSDYn1IFDPWt_1FKiwhDph83XaGc0o0/edit?usp=sharing"",""งบพรบ!R42"")"),467892)</f>
        <v>467892</v>
      </c>
      <c r="N46" s="93">
        <f ca="1">IFERROR(__xludf.DUMMYFUNCTION("IMPORTRANGE(""https://docs.google.com/spreadsheets/d/1MeEWN-I1oV_STSDYn1IFDPWt_1FKiwhDph83XaGc0o0/edit?usp=sharing"",""งบพรบ!T42"")"),236643)</f>
        <v>236643</v>
      </c>
      <c r="O46" s="93">
        <f t="shared" ca="1" si="26"/>
        <v>25.432029506970505</v>
      </c>
      <c r="P46" s="93">
        <f t="shared" ca="1" si="27"/>
        <v>50.576415070144392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616270</v>
      </c>
      <c r="N53" s="116">
        <f t="shared" ca="1" si="31"/>
        <v>424630.41</v>
      </c>
      <c r="O53" s="116">
        <f t="shared" ref="O53:O61" ca="1" si="32">IF(L53&gt;0,N53*100/L53,0)</f>
        <v>41.955380891216286</v>
      </c>
      <c r="P53" s="116">
        <f t="shared" ref="P53:P61" ca="1" si="33">IF(M53&gt;0,N53*100/M53,0)</f>
        <v>68.903306992065168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616270</v>
      </c>
      <c r="N55" s="123">
        <f t="shared" ca="1" si="34"/>
        <v>424630.41</v>
      </c>
      <c r="O55" s="123">
        <f t="shared" ca="1" si="32"/>
        <v>41.955380891216286</v>
      </c>
      <c r="P55" s="123">
        <f t="shared" ca="1" si="33"/>
        <v>68.903306992065168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904900</v>
      </c>
      <c r="M56" s="496">
        <f t="shared" ca="1" si="35"/>
        <v>509070</v>
      </c>
      <c r="N56" s="496">
        <f t="shared" ca="1" si="35"/>
        <v>317430.40999999997</v>
      </c>
      <c r="O56" s="496">
        <f t="shared" ca="1" si="32"/>
        <v>35.079059564592768</v>
      </c>
      <c r="P56" s="496">
        <f t="shared" ca="1" si="33"/>
        <v>62.354962971693475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IFERROR(__xludf.DUMMYFUNCTION("IMPORTRANGE(""https://docs.google.com/spreadsheets/d/1MeEWN-I1oV_STSDYn1IFDPWt_1FKiwhDph83XaGc0o0/edit?usp=sharing"",""งบพรบ!AB42"")"),509070)</f>
        <v>509070</v>
      </c>
      <c r="N58" s="93">
        <f ca="1">IFERROR(__xludf.DUMMYFUNCTION("IMPORTRANGE(""https://docs.google.com/spreadsheets/d/1MeEWN-I1oV_STSDYn1IFDPWt_1FKiwhDph83XaGc0o0/edit?usp=sharing"",""งบพรบ!AD42"")"),317430.41)</f>
        <v>317430.40999999997</v>
      </c>
      <c r="O58" s="93">
        <f t="shared" ca="1" si="32"/>
        <v>35.079059564592768</v>
      </c>
      <c r="P58" s="93">
        <f t="shared" ca="1" si="33"/>
        <v>62.354962971693475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107200</v>
      </c>
      <c r="M59" s="496">
        <f t="shared" ca="1" si="36"/>
        <v>107200</v>
      </c>
      <c r="N59" s="496">
        <f t="shared" ca="1" si="36"/>
        <v>107200</v>
      </c>
      <c r="O59" s="496">
        <f t="shared" ca="1" si="32"/>
        <v>100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954000</v>
      </c>
      <c r="M66" s="155">
        <f t="shared" ca="1" si="39"/>
        <v>457000</v>
      </c>
      <c r="N66" s="155">
        <f t="shared" ca="1" si="39"/>
        <v>267411.3</v>
      </c>
      <c r="O66" s="155">
        <f t="shared" ref="O66:O74" ca="1" si="40">IF(L66&gt;0,N66*100/L66,0)</f>
        <v>28.030534591194968</v>
      </c>
      <c r="P66" s="155">
        <f t="shared" ref="P66:P74" ca="1" si="41">IF(M66&gt;0,N66*100/M66,0)</f>
        <v>58.514507658643325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954000</v>
      </c>
      <c r="M68" s="93">
        <f t="shared" ca="1" si="42"/>
        <v>457000</v>
      </c>
      <c r="N68" s="93">
        <f t="shared" ca="1" si="42"/>
        <v>267411.3</v>
      </c>
      <c r="O68" s="93">
        <f t="shared" ca="1" si="40"/>
        <v>28.030534591194968</v>
      </c>
      <c r="P68" s="93">
        <f t="shared" ca="1" si="41"/>
        <v>58.514507658643325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954000</v>
      </c>
      <c r="M69" s="496">
        <f t="shared" ca="1" si="43"/>
        <v>457000</v>
      </c>
      <c r="N69" s="496">
        <f t="shared" ca="1" si="43"/>
        <v>267411.3</v>
      </c>
      <c r="O69" s="496">
        <f t="shared" ca="1" si="40"/>
        <v>28.030534591194968</v>
      </c>
      <c r="P69" s="496">
        <f t="shared" ca="1" si="41"/>
        <v>58.514507658643325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IFERROR(__xludf.DUMMYFUNCTION("IMPORTRANGE(""https://docs.google.com/spreadsheets/d/1MeEWN-I1oV_STSDYn1IFDPWt_1FKiwhDph83XaGc0o0/edit?usp=sharing"",""งบพรบ!AL42"")"),457000)</f>
        <v>457000</v>
      </c>
      <c r="N71" s="93">
        <f ca="1">IFERROR(__xludf.DUMMYFUNCTION("IMPORTRANGE(""https://docs.google.com/spreadsheets/d/1MeEWN-I1oV_STSDYn1IFDPWt_1FKiwhDph83XaGc0o0/edit?usp=sharing"",""งบพรบ!AN42"")"),267411.3)</f>
        <v>267411.3</v>
      </c>
      <c r="O71" s="93">
        <f t="shared" ca="1" si="40"/>
        <v>28.030534591194968</v>
      </c>
      <c r="P71" s="93">
        <f t="shared" ca="1" si="41"/>
        <v>58.514507658643325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40</v>
      </c>
      <c r="J77" s="269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4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4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269660</v>
      </c>
      <c r="M88" s="155">
        <f t="shared" ca="1" si="49"/>
        <v>118110</v>
      </c>
      <c r="N88" s="155">
        <f t="shared" ca="1" si="49"/>
        <v>15700</v>
      </c>
      <c r="O88" s="155">
        <f t="shared" ref="O88:O96" ca="1" si="50">IF(L88&gt;0,N88*100/L88,0)</f>
        <v>5.8221464065860715</v>
      </c>
      <c r="P88" s="155">
        <f t="shared" ref="P88:P96" ca="1" si="51">IF(M88&gt;0,N88*100/M88,0)</f>
        <v>13.292693252053171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269660</v>
      </c>
      <c r="M90" s="93">
        <f t="shared" ca="1" si="52"/>
        <v>118110</v>
      </c>
      <c r="N90" s="93">
        <f t="shared" ca="1" si="52"/>
        <v>15700</v>
      </c>
      <c r="O90" s="93">
        <f t="shared" ca="1" si="50"/>
        <v>5.8221464065860715</v>
      </c>
      <c r="P90" s="93">
        <f t="shared" ca="1" si="51"/>
        <v>13.292693252053171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269660</v>
      </c>
      <c r="M91" s="496">
        <f t="shared" ca="1" si="53"/>
        <v>118110</v>
      </c>
      <c r="N91" s="496">
        <f t="shared" ca="1" si="53"/>
        <v>15700</v>
      </c>
      <c r="O91" s="496">
        <f t="shared" ca="1" si="50"/>
        <v>5.8221464065860715</v>
      </c>
      <c r="P91" s="496">
        <f t="shared" ca="1" si="51"/>
        <v>13.292693252053171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IFERROR(__xludf.DUMMYFUNCTION("IMPORTRANGE(""https://docs.google.com/spreadsheets/d/1MeEWN-I1oV_STSDYn1IFDPWt_1FKiwhDph83XaGc0o0/edit?usp=sharing"",""งบพรบ!AV42"")"),118110)</f>
        <v>118110</v>
      </c>
      <c r="N93" s="93">
        <f ca="1">IFERROR(__xludf.DUMMYFUNCTION("IMPORTRANGE(""https://docs.google.com/spreadsheets/d/1MeEWN-I1oV_STSDYn1IFDPWt_1FKiwhDph83XaGc0o0/edit?usp=sharing"",""งบพรบ!AX42"")"),15700)</f>
        <v>15700</v>
      </c>
      <c r="O93" s="93">
        <f t="shared" ca="1" si="50"/>
        <v>5.8221464065860715</v>
      </c>
      <c r="P93" s="93">
        <f t="shared" ca="1" si="51"/>
        <v>13.292693252053171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IFERROR(__xludf.DUMMYFUNCTION("IMPORTRANGE(""https://docs.google.com/spreadsheets/d/1QqKyyYR6Q21VydFLVH3TRQUabQu_ym0Zz7PgGX0-kHA/edit?usp=sharing"",""แผน!K42"")"),45)</f>
        <v>45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IFERROR(__xludf.DUMMYFUNCTION("IMPORTRANGE(""https://docs.google.com/spreadsheets/d/1QqKyyYR6Q21VydFLVH3TRQUabQu_ym0Zz7PgGX0-kHA/edit?usp=sharing"",""แผน!L42"")"),15)</f>
        <v>15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IFERROR(__xludf.DUMMYFUNCTION("IMPORTRANGE(""https://docs.google.com/spreadsheets/d/1QqKyyYR6Q21VydFLVH3TRQUabQu_ym0Zz7PgGX0-kHA/edit?usp=sharing"",""แผน!M42"")"),2)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IFERROR(__xludf.DUMMYFUNCTION("IMPORTRANGE(""https://docs.google.com/spreadsheets/d/1QqKyyYR6Q21VydFLVH3TRQUabQu_ym0Zz7PgGX0-kHA/edit?usp=sharing"",""แผน!N42"")"),45)</f>
        <v>45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IFERROR(__xludf.DUMMYFUNCTION("IMPORTRANGE(""https://docs.google.com/spreadsheets/d/1QqKyyYR6Q21VydFLVH3TRQUabQu_ym0Zz7PgGX0-kHA/edit?usp=sharing"",""แผน!O42"")"),15)</f>
        <v>15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IFERROR(__xludf.DUMMYFUNCTION("IMPORTRANGE(""https://docs.google.com/spreadsheets/d/1QqKyyYR6Q21VydFLVH3TRQUabQu_ym0Zz7PgGX0-kHA/edit?usp=sharing"",""แผน!O42"")"),15)</f>
        <v>15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IFERROR(__xludf.DUMMYFUNCTION("IMPORTRANGE(""https://docs.google.com/spreadsheets/d/1QqKyyYR6Q21VydFLVH3TRQUabQu_ym0Zz7PgGX0-kHA/edit?usp=sharing"",""แผน!P42"")"),1)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IFERROR(__xludf.DUMMYFUNCTION("IMPORTRANGE(""https://docs.google.com/spreadsheets/d/1QqKyyYR6Q21VydFLVH3TRQUabQu_ym0Zz7PgGX0-kHA/edit?usp=sharing"",""แผน!P42"")"),1)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IFERROR(__xludf.DUMMYFUNCTION("IMPORTRANGE(""https://docs.google.com/spreadsheets/d/1QqKyyYR6Q21VydFLVH3TRQUabQu_ym0Zz7PgGX0-kHA/edit?usp=sharing"",""แผน!Q42"")"),1)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IFERROR(__xludf.DUMMYFUNCTION("IMPORTRANGE(""https://docs.google.com/spreadsheets/d/1QqKyyYR6Q21VydFLVH3TRQUabQu_ym0Zz7PgGX0-kHA/edit?usp=sharing"",""แผน!Q42"")"),1)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IFERROR(__xludf.DUMMYFUNCTION("IMPORTRANGE(""https://docs.google.com/spreadsheets/d/1QqKyyYR6Q21VydFLVH3TRQUabQu_ym0Zz7PgGX0-kHA/edit?usp=sharing"",""แผน!U42"")"),0)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IFERROR(__xludf.DUMMYFUNCTION("IMPORTRANGE(""https://docs.google.com/spreadsheets/d/1QqKyyYR6Q21VydFLVH3TRQUabQu_ym0Zz7PgGX0-kHA/edit?usp=sharing"",""แผน!V42"")"),0)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IFERROR(__xludf.DUMMYFUNCTION("IMPORTRANGE(""https://docs.google.com/spreadsheets/d/1QqKyyYR6Q21VydFLVH3TRQUabQu_ym0Zz7PgGX0-kHA/edit?usp=sharing"",""แผน!W42"")"),0)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10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5000</v>
      </c>
      <c r="M152" s="496">
        <f t="shared" ca="1" si="81"/>
        <v>5000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IFERROR(__xludf.DUMMYFUNCTION("IMPORTRANGE(""https://docs.google.com/spreadsheets/d/1MeEWN-I1oV_STSDYn1IFDPWt_1FKiwhDph83XaGc0o0/edit?usp=sharing"",""งบพรบ!BZ42"")"),5000)</f>
        <v>5000</v>
      </c>
      <c r="N154" s="93">
        <f ca="1">IFERROR(__xludf.DUMMYFUNCTION("IMPORTRANGE(""https://docs.google.com/spreadsheets/d/1MeEWN-I1oV_STSDYn1IFDPWt_1FKiwhDph83XaGc0o0/edit?usp=sharing"",""งบพรบ!CB42"")"),0)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IFERROR(__xludf.DUMMYFUNCTION("IMPORTRANGE(""https://docs.google.com/spreadsheets/d/1QqKyyYR6Q21VydFLVH3TRQUabQu_ym0Zz7PgGX0-kHA/edit?usp=sharing"",""แผน!X42"")"),10)</f>
        <v>10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23060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IFERROR(__xludf.DUMMYFUNCTION("IMPORTRANGE(""https://docs.google.com/spreadsheets/d/1MeEWN-I1oV_STSDYn1IFDPWt_1FKiwhDph83XaGc0o0/edit?usp=sharing"",""งบพรบ!CJ42"")"),23060)</f>
        <v>23060</v>
      </c>
      <c r="N170" s="93">
        <f ca="1">IFERROR(__xludf.DUMMYFUNCTION("IMPORTRANGE(""https://docs.google.com/spreadsheets/d/1MeEWN-I1oV_STSDYn1IFDPWt_1FKiwhDph83XaGc0o0/edit?usp=sharing"",""งบพรบ!CL42"")"),23060)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IFERROR(__xludf.DUMMYFUNCTION("IMPORTRANGE(""https://docs.google.com/spreadsheets/d/1QqKyyYR6Q21VydFLVH3TRQUabQu_ym0Zz7PgGX0-kHA/edit?usp=sharing"",""แผน!Y42"")"),12)</f>
        <v>12</v>
      </c>
      <c r="J176" s="214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1">L182+L183</f>
        <v>67600</v>
      </c>
      <c r="M181" s="155">
        <f t="shared" ca="1" si="91"/>
        <v>30000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67600</v>
      </c>
      <c r="M183" s="93">
        <f t="shared" ca="1" si="94"/>
        <v>30000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67600</v>
      </c>
      <c r="M184" s="496">
        <f t="shared" ca="1" si="95"/>
        <v>30000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IFERROR(__xludf.DUMMYFUNCTION("IMPORTRANGE(""https://docs.google.com/spreadsheets/d/1MeEWN-I1oV_STSDYn1IFDPWt_1FKiwhDph83XaGc0o0/edit?usp=sharing"",""งบพรบ!CT42"")"),30000)</f>
        <v>30000</v>
      </c>
      <c r="N186" s="93">
        <f ca="1">IFERROR(__xludf.DUMMYFUNCTION("IMPORTRANGE(""https://docs.google.com/spreadsheets/d/1MeEWN-I1oV_STSDYn1IFDPWt_1FKiwhDph83XaGc0o0/edit?usp=sharing"",""งบพรบ!CV42"")"),0)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IFERROR(__xludf.DUMMYFUNCTION("IMPORTRANGE(""https://docs.google.com/spreadsheets/d/1QqKyyYR6Q21VydFLVH3TRQUabQu_ym0Zz7PgGX0-kHA/edit?usp=sharing"",""แผน!AC42"")"),4)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IFERROR(__xludf.DUMMYFUNCTION("IMPORTRANGE(""https://docs.google.com/spreadsheets/d/1QqKyyYR6Q21VydFLVH3TRQUabQu_ym0Zz7PgGX0-kHA/edit?usp=sharing"",""แผน!AE42"")"),3000)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IFERROR(__xludf.DUMMYFUNCTION("IMPORTRANGE(""https://docs.google.com/spreadsheets/d/1QqKyyYR6Q21VydFLVH3TRQUabQu_ym0Zz7PgGX0-kHA/edit?usp=sharing"",""แผน!AF42"")"),24000)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IFERROR(__xludf.DUMMYFUNCTION("IMPORTRANGE(""https://docs.google.com/spreadsheets/d/1QqKyyYR6Q21VydFLVH3TRQUabQu_ym0Zz7PgGX0-kHA/edit?usp=sharing"",""แผน!AG42"")"),12000)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IFERROR(__xludf.DUMMYFUNCTION("IMPORTRANGE(""https://docs.google.com/spreadsheets/d/1QqKyyYR6Q21VydFLVH3TRQUabQu_ym0Zz7PgGX0-kHA/edit?usp=sharing"",""แผน!AH42"")"),0)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IFERROR(__xludf.DUMMYFUNCTION("IMPORTRANGE(""https://docs.google.com/spreadsheets/d/1QqKyyYR6Q21VydFLVH3TRQUabQu_ym0Zz7PgGX0-kHA/edit?usp=sharing"",""แผน!AI42"")"),3)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IFERROR(__xludf.DUMMYFUNCTION("IMPORTRANGE(""https://docs.google.com/spreadsheets/d/1QqKyyYR6Q21VydFLVH3TRQUabQu_ym0Zz7PgGX0-kHA/edit?usp=sharing"",""แผน!AK42"")"),0)</f>
        <v>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IFERROR(__xludf.DUMMYFUNCTION("IMPORTRANGE(""https://docs.google.com/spreadsheets/d/1QqKyyYR6Q21VydFLVH3TRQUabQu_ym0Zz7PgGX0-kHA/edit?usp=sharing"",""แผน!AL42"")"),0)</f>
        <v>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IFERROR(__xludf.DUMMYFUNCTION("IMPORTRANGE(""https://docs.google.com/spreadsheets/d/1QqKyyYR6Q21VydFLVH3TRQUabQu_ym0Zz7PgGX0-kHA/edit?usp=sharing"",""แผน!AM42"")"),0)</f>
        <v>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IFERROR(__xludf.DUMMYFUNCTION("IMPORTRANGE(""https://docs.google.com/spreadsheets/d/1QqKyyYR6Q21VydFLVH3TRQUabQu_ym0Zz7PgGX0-kHA/edit?usp=sharing"",""แผน!AN42"")"),0)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IFERROR(__xludf.DUMMYFUNCTION("IMPORTRANGE(""https://docs.google.com/spreadsheets/d/1QqKyyYR6Q21VydFLVH3TRQUabQu_ym0Zz7PgGX0-kHA/edit?usp=sharing"",""แผน!AN42"")"),0)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64000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IFERROR(__xludf.DUMMYFUNCTION("IMPORTRANGE(""https://docs.google.com/spreadsheets/d/1QqKyyYR6Q21VydFLVH3TRQUabQu_ym0Zz7PgGX0-kHA/edit?usp=sharing"",""แผน!AP42"")"),5000)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IFERROR(__xludf.DUMMYFUNCTION("IMPORTRANGE(""https://docs.google.com/spreadsheets/d/1QqKyyYR6Q21VydFLVH3TRQUabQu_ym0Zz7PgGX0-kHA/edit?usp=sharing"",""แผน!AQ42"")"),17600)</f>
        <v>17600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IFERROR(__xludf.DUMMYFUNCTION("IMPORTRANGE(""https://docs.google.com/spreadsheets/d/1QqKyyYR6Q21VydFLVH3TRQUabQu_ym0Zz7PgGX0-kHA/edit?usp=sharing"",""แผน!AR42"")"),0)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IFERROR(__xludf.DUMMYFUNCTION("IMPORTRANGE(""https://docs.google.com/spreadsheets/d/1QqKyyYR6Q21VydFLVH3TRQUabQu_ym0Zz7PgGX0-kHA/edit?usp=sharing"",""แผน!AT42"")"),64000)</f>
        <v>64000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IFERROR(__xludf.DUMMYFUNCTION("IMPORTRANGE(""https://docs.google.com/spreadsheets/d/1QqKyyYR6Q21VydFLVH3TRQUabQu_ym0Zz7PgGX0-kHA/edit?usp=sharing"",""แผน!AT42"")"),64000)</f>
        <v>64000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IFERROR(__xludf.DUMMYFUNCTION("IMPORTRANGE(""https://docs.google.com/spreadsheets/d/1QqKyyYR6Q21VydFLVH3TRQUabQu_ym0Zz7PgGX0-kHA/edit?usp=sharing"",""แผน!AS42"")"),0)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IFERROR(__xludf.DUMMYFUNCTION("IMPORTRANGE(""https://docs.google.com/spreadsheets/d/1QqKyyYR6Q21VydFLVH3TRQUabQu_ym0Zz7PgGX0-kHA/edit?usp=sharing"",""แผน!AV42"")"),0)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IFERROR(__xludf.DUMMYFUNCTION("IMPORTRANGE(""https://docs.google.com/spreadsheets/d/1QqKyyYR6Q21VydFLVH3TRQUabQu_ym0Zz7PgGX0-kHA/edit?usp=sharing"",""แผน!AW42"")"),0)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IFERROR(__xludf.DUMMYFUNCTION("IMPORTRANGE(""https://docs.google.com/spreadsheets/d/1QqKyyYR6Q21VydFLVH3TRQUabQu_ym0Zz7PgGX0-kHA/edit?usp=sharing"",""แผน!AX42"")"),0)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IFERROR(__xludf.DUMMYFUNCTION("IMPORTRANGE(""https://docs.google.com/spreadsheets/d/1QqKyyYR6Q21VydFLVH3TRQUabQu_ym0Zz7PgGX0-kHA/edit?usp=sharing"",""แผน!AY42"")"),0)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IFERROR(__xludf.DUMMYFUNCTION("IMPORTRANGE(""https://docs.google.com/spreadsheets/d/1QqKyyYR6Q21VydFLVH3TRQUabQu_ym0Zz7PgGX0-kHA/edit?usp=sharing"",""แผน!BE42"")"),0)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IFERROR(__xludf.DUMMYFUNCTION("IMPORTRANGE(""https://docs.google.com/spreadsheets/d/1QqKyyYR6Q21VydFLVH3TRQUabQu_ym0Zz7PgGX0-kHA/edit?usp=sharing"",""แผน!AZ42"")"),0)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IFERROR(__xludf.DUMMYFUNCTION("IMPORTRANGE(""https://docs.google.com/spreadsheets/d/1QqKyyYR6Q21VydFLVH3TRQUabQu_ym0Zz7PgGX0-kHA/edit?usp=sharing"",""แผน!BA42"")"),0)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IFERROR(__xludf.DUMMYFUNCTION("IMPORTRANGE(""https://docs.google.com/spreadsheets/d/1QqKyyYR6Q21VydFLVH3TRQUabQu_ym0Zz7PgGX0-kHA/edit?usp=sharing"",""แผน!BB42"")"),0)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IFERROR(__xludf.DUMMYFUNCTION("IMPORTRANGE(""https://docs.google.com/spreadsheets/d/1QqKyyYR6Q21VydFLVH3TRQUabQu_ym0Zz7PgGX0-kHA/edit?usp=sharing"",""แผน!BC42"")"),0)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IFERROR(__xludf.DUMMYFUNCTION("IMPORTRANGE(""https://docs.google.com/spreadsheets/d/1QqKyyYR6Q21VydFLVH3TRQUabQu_ym0Zz7PgGX0-kHA/edit?usp=sharing"",""แผน!BF42"")"),0)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26</v>
      </c>
      <c r="J260" s="252">
        <f t="shared" si="114"/>
        <v>26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30700</v>
      </c>
      <c r="M261" s="155">
        <f t="shared" ca="1" si="115"/>
        <v>27700</v>
      </c>
      <c r="N261" s="155">
        <f t="shared" ca="1" si="115"/>
        <v>26875</v>
      </c>
      <c r="O261" s="155">
        <f t="shared" ref="O261:O269" ca="1" si="116">IF(L261&gt;0,N261*100/L261,0)</f>
        <v>87.54071661237785</v>
      </c>
      <c r="P261" s="155">
        <f t="shared" ref="P261:P269" ca="1" si="117">IF(M261&gt;0,N261*100/M261,0)</f>
        <v>97.021660649819495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30700</v>
      </c>
      <c r="M263" s="93">
        <f t="shared" ca="1" si="118"/>
        <v>27700</v>
      </c>
      <c r="N263" s="93">
        <f t="shared" ca="1" si="118"/>
        <v>26875</v>
      </c>
      <c r="O263" s="93">
        <f t="shared" ca="1" si="116"/>
        <v>87.54071661237785</v>
      </c>
      <c r="P263" s="93">
        <f t="shared" ca="1" si="117"/>
        <v>97.021660649819495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30700</v>
      </c>
      <c r="M264" s="496">
        <f t="shared" ca="1" si="119"/>
        <v>27700</v>
      </c>
      <c r="N264" s="496">
        <f t="shared" ca="1" si="119"/>
        <v>26875</v>
      </c>
      <c r="O264" s="496">
        <f t="shared" ca="1" si="116"/>
        <v>87.54071661237785</v>
      </c>
      <c r="P264" s="496">
        <f t="shared" ca="1" si="117"/>
        <v>97.021660649819495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IFERROR(__xludf.DUMMYFUNCTION("IMPORTRANGE(""https://docs.google.com/spreadsheets/d/1MeEWN-I1oV_STSDYn1IFDPWt_1FKiwhDph83XaGc0o0/edit?usp=sharing"",""งบพรบ!DD42"")"),27700)</f>
        <v>27700</v>
      </c>
      <c r="N266" s="93">
        <f ca="1">IFERROR(__xludf.DUMMYFUNCTION("IMPORTRANGE(""https://docs.google.com/spreadsheets/d/1MeEWN-I1oV_STSDYn1IFDPWt_1FKiwhDph83XaGc0o0/edit?usp=sharing"",""งบพรบ!DF42"")"),26875)</f>
        <v>26875</v>
      </c>
      <c r="O266" s="93">
        <f t="shared" ca="1" si="116"/>
        <v>87.54071661237785</v>
      </c>
      <c r="P266" s="93">
        <f t="shared" ca="1" si="117"/>
        <v>97.021660649819495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IFERROR(__xludf.DUMMYFUNCTION("IMPORTRANGE(""https://docs.google.com/spreadsheets/d/1QqKyyYR6Q21VydFLVH3TRQUabQu_ym0Zz7PgGX0-kHA/edit?usp=sharing"",""แผน!EA42"")"),26)</f>
        <v>26</v>
      </c>
      <c r="J271" s="214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40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23">I287</f>
        <v>400</v>
      </c>
      <c r="J276" s="405">
        <f t="shared" si="123"/>
        <v>400</v>
      </c>
      <c r="K276" s="406">
        <f t="shared" ca="1" si="122"/>
        <v>100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147030</v>
      </c>
      <c r="M277" s="155">
        <f t="shared" ca="1" si="124"/>
        <v>61280</v>
      </c>
      <c r="N277" s="155">
        <f t="shared" ca="1" si="124"/>
        <v>61280</v>
      </c>
      <c r="O277" s="155">
        <f t="shared" ref="O277:O285" ca="1" si="125">IF(L277&gt;0,N277*100/L277,0)</f>
        <v>41.678568999523904</v>
      </c>
      <c r="P277" s="155">
        <f t="shared" ref="P277:P285" ca="1" si="126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147030</v>
      </c>
      <c r="M279" s="93">
        <f t="shared" ca="1" si="127"/>
        <v>61280</v>
      </c>
      <c r="N279" s="93">
        <f t="shared" ca="1" si="127"/>
        <v>61280</v>
      </c>
      <c r="O279" s="93">
        <f t="shared" ca="1" si="125"/>
        <v>41.678568999523904</v>
      </c>
      <c r="P279" s="93">
        <f t="shared" ca="1" si="126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147030</v>
      </c>
      <c r="M280" s="496">
        <f t="shared" ca="1" si="128"/>
        <v>61280</v>
      </c>
      <c r="N280" s="496">
        <f t="shared" ca="1" si="128"/>
        <v>61280</v>
      </c>
      <c r="O280" s="496">
        <f t="shared" ca="1" si="125"/>
        <v>41.678568999523904</v>
      </c>
      <c r="P280" s="496">
        <f t="shared" ca="1" si="126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IFERROR(__xludf.DUMMYFUNCTION("IMPORTRANGE(""https://docs.google.com/spreadsheets/d/1MeEWN-I1oV_STSDYn1IFDPWt_1FKiwhDph83XaGc0o0/edit?usp=sharing"",""งบพรบ!DN42"")"),61280)</f>
        <v>61280</v>
      </c>
      <c r="N282" s="93">
        <f ca="1">IFERROR(__xludf.DUMMYFUNCTION("IMPORTRANGE(""https://docs.google.com/spreadsheets/d/1MeEWN-I1oV_STSDYn1IFDPWt_1FKiwhDph83XaGc0o0/edit?usp=sharing"",""งบพรบ!DP42"")"),61280)</f>
        <v>61280</v>
      </c>
      <c r="O282" s="93">
        <f t="shared" ca="1" si="125"/>
        <v>41.678568999523904</v>
      </c>
      <c r="P282" s="93">
        <f t="shared" ca="1" si="126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IFERROR(__xludf.DUMMYFUNCTION("IMPORTRANGE(""https://docs.google.com/spreadsheets/d/1QqKyyYR6Q21VydFLVH3TRQUabQu_ym0Zz7PgGX0-kHA/edit?usp=sharing"",""แผน!EC42"")"),400)</f>
        <v>400</v>
      </c>
      <c r="J287" s="214">
        <v>400</v>
      </c>
      <c r="K287" s="163">
        <f t="shared" ref="K287:K288" ca="1" si="130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IFERROR(__xludf.DUMMYFUNCTION("IMPORTRANGE(""https://docs.google.com/spreadsheets/d/1QqKyyYR6Q21VydFLVH3TRQUabQu_ym0Zz7PgGX0-kHA/edit?usp=sharing"",""แผน!EB42"")"),40)</f>
        <v>40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4">
        <v>40</v>
      </c>
      <c r="K290" s="163">
        <f t="shared" ref="K290:K291" ca="1" si="13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4">
        <v>40</v>
      </c>
      <c r="K291" s="163">
        <f t="shared" ca="1" si="131"/>
        <v>100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IFERROR(__xludf.DUMMYFUNCTION("IMPORTRANGE(""https://docs.google.com/spreadsheets/d/1QqKyyYR6Q21VydFLVH3TRQUabQu_ym0Zz7PgGX0-kHA/edit?usp=sharing"",""แผน!EB42"")"),40)</f>
        <v>40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20</v>
      </c>
      <c r="J297" s="443">
        <f t="shared" si="133"/>
        <v>20</v>
      </c>
      <c r="K297" s="444">
        <f ca="1">IF(I297&gt;0,J297*100/I297,0)</f>
        <v>100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24690</v>
      </c>
      <c r="O298" s="155">
        <f t="shared" ref="O298:O306" ca="1" si="135">IF(L298&gt;0,N298*100/L298,0)</f>
        <v>29.96359223300971</v>
      </c>
      <c r="P298" s="155">
        <f t="shared" ref="P298:P306" ca="1" si="136">IF(M298&gt;0,N298*100/M298,0)</f>
        <v>50.264657980456029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24690</v>
      </c>
      <c r="O300" s="93">
        <f t="shared" ca="1" si="135"/>
        <v>29.96359223300971</v>
      </c>
      <c r="P300" s="93">
        <f t="shared" ca="1" si="136"/>
        <v>50.264657980456029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82400</v>
      </c>
      <c r="M301" s="496">
        <f t="shared" ca="1" si="138"/>
        <v>49120</v>
      </c>
      <c r="N301" s="496">
        <f t="shared" ca="1" si="138"/>
        <v>24690</v>
      </c>
      <c r="O301" s="496">
        <f t="shared" ca="1" si="135"/>
        <v>29.96359223300971</v>
      </c>
      <c r="P301" s="496">
        <f t="shared" ca="1" si="136"/>
        <v>50.264657980456029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IFERROR(__xludf.DUMMYFUNCTION("IMPORTRANGE(""https://docs.google.com/spreadsheets/d/1MeEWN-I1oV_STSDYn1IFDPWt_1FKiwhDph83XaGc0o0/edit?usp=sharing"",""งบพรบ!DX42"")"),49120)</f>
        <v>49120</v>
      </c>
      <c r="N303" s="93">
        <f ca="1">IFERROR(__xludf.DUMMYFUNCTION("IMPORTRANGE(""https://docs.google.com/spreadsheets/d/1MeEWN-I1oV_STSDYn1IFDPWt_1FKiwhDph83XaGc0o0/edit?usp=sharing"",""งบพรบ!DZ42"")"),24690)</f>
        <v>24690</v>
      </c>
      <c r="O303" s="93">
        <f t="shared" ca="1" si="135"/>
        <v>29.96359223300971</v>
      </c>
      <c r="P303" s="93">
        <f t="shared" ca="1" si="136"/>
        <v>50.264657980456029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1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IFERROR(__xludf.DUMMYFUNCTION("IMPORTRANGE(""https://docs.google.com/spreadsheets/d/1QqKyyYR6Q21VydFLVH3TRQUabQu_ym0Zz7PgGX0-kHA/edit?usp=sharing"",""แผน!ED42"")"),20)</f>
        <v>20</v>
      </c>
      <c r="J309" s="214">
        <v>20</v>
      </c>
      <c r="K309" s="496">
        <f t="shared" ref="K309:K312" ca="1" si="140">IF(I309&gt;0,J309*100/I309,0)</f>
        <v>100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IFERROR(__xludf.DUMMYFUNCTION("IMPORTRANGE(""https://docs.google.com/spreadsheets/d/1QqKyyYR6Q21VydFLVH3TRQUabQu_ym0Zz7PgGX0-kHA/edit?usp=sharing"",""แผน!ED42"")"),20)</f>
        <v>20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IFERROR(__xludf.DUMMYFUNCTION("IMPORTRANGE(""https://docs.google.com/spreadsheets/d/1QqKyyYR6Q21VydFLVH3TRQUabQu_ym0Zz7PgGX0-kHA/edit?usp=sharing"",""แผน!ED42"")"),20)</f>
        <v>20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IFERROR(__xludf.DUMMYFUNCTION("IMPORTRANGE(""https://docs.google.com/spreadsheets/d/1QqKyyYR6Q21VydFLVH3TRQUabQu_ym0Zz7PgGX0-kHA/edit?usp=sharing"",""แผน!EE42"")"),4)</f>
        <v>4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IFERROR(__xludf.DUMMYFUNCTION("IMPORTRANGE(""https://docs.google.com/spreadsheets/d/1QqKyyYR6Q21VydFLVH3TRQUabQu_ym0Zz7PgGX0-kHA/edit?usp=sharing"",""แผน!EF42"")"),0)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IFERROR(__xludf.DUMMYFUNCTION("IMPORTRANGE(""https://docs.google.com/spreadsheets/d/1QqKyyYR6Q21VydFLVH3TRQUabQu_ym0Zz7PgGX0-kHA/edit?usp=sharing"",""แผน!EG42"")"),5600)</f>
        <v>5600</v>
      </c>
      <c r="J327" s="443">
        <f ca="1">J338+J341+J342+J343</f>
        <v>1263</v>
      </c>
      <c r="K327" s="444">
        <f ca="1">IF(I327&gt;0,J327*100/I327,0)</f>
        <v>22.553571428571427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271600</v>
      </c>
      <c r="M328" s="155">
        <f t="shared" ca="1" si="148"/>
        <v>135800</v>
      </c>
      <c r="N328" s="155">
        <f t="shared" ca="1" si="148"/>
        <v>39340</v>
      </c>
      <c r="O328" s="155">
        <f t="shared" ref="O328:O336" ca="1" si="149">IF(L328&gt;0,N328*100/L328,0)</f>
        <v>14.484536082474227</v>
      </c>
      <c r="P328" s="155">
        <f t="shared" ref="P328:P336" ca="1" si="150">IF(M328&gt;0,N328*100/M328,0)</f>
        <v>28.969072164948454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271600</v>
      </c>
      <c r="M330" s="93">
        <f t="shared" ca="1" si="151"/>
        <v>135800</v>
      </c>
      <c r="N330" s="93">
        <f t="shared" ca="1" si="151"/>
        <v>39340</v>
      </c>
      <c r="O330" s="93">
        <f t="shared" ca="1" si="149"/>
        <v>14.484536082474227</v>
      </c>
      <c r="P330" s="93">
        <f t="shared" ca="1" si="150"/>
        <v>28.969072164948454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271600</v>
      </c>
      <c r="M331" s="496">
        <f t="shared" ca="1" si="152"/>
        <v>135800</v>
      </c>
      <c r="N331" s="496">
        <f t="shared" ca="1" si="152"/>
        <v>39340</v>
      </c>
      <c r="O331" s="496">
        <f t="shared" ca="1" si="149"/>
        <v>14.484536082474227</v>
      </c>
      <c r="P331" s="496">
        <f t="shared" ca="1" si="150"/>
        <v>28.969072164948454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IFERROR(__xludf.DUMMYFUNCTION("IMPORTRANGE(""https://docs.google.com/spreadsheets/d/1MeEWN-I1oV_STSDYn1IFDPWt_1FKiwhDph83XaGc0o0/edit?usp=sharing"",""งบพรบ!ER42"")"),135800)</f>
        <v>135800</v>
      </c>
      <c r="N333" s="93">
        <f ca="1">IFERROR(__xludf.DUMMYFUNCTION("IMPORTRANGE(""https://docs.google.com/spreadsheets/d/1MeEWN-I1oV_STSDYn1IFDPWt_1FKiwhDph83XaGc0o0/edit?usp=sharing"",""งบพรบ!ET42"")"),39340)</f>
        <v>39340</v>
      </c>
      <c r="O333" s="93">
        <f t="shared" ca="1" si="149"/>
        <v>14.484536082474227</v>
      </c>
      <c r="P333" s="93">
        <f t="shared" ca="1" si="150"/>
        <v>28.969072164948454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IFERROR(__xludf.DUMMYFUNCTION("IMPORTRANGE(""https://docs.google.com/spreadsheets/d/1QqKyyYR6Q21VydFLVH3TRQUabQu_ym0Zz7PgGX0-kHA/edit?usp=sharing"",""แผน!EG42"")"),5600)</f>
        <v>5600</v>
      </c>
      <c r="J338" s="269">
        <f ca="1">IFERROR(__xludf.DUMMYFUNCTION("IMPORTRANGE(""https://docs.google.com/spreadsheets/d/1kVcqe37tkHyjCSG3S0O1AXqVkqjo8mSIZil3BcpIysc/edit?usp=sharing"",""ศูนย์!D42"")"),1263)</f>
        <v>1263</v>
      </c>
      <c r="K338" s="496">
        <f ca="1">IF(I338&gt;0,J338*100/I338,0)</f>
        <v>22.553571428571427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IFERROR(__xludf.DUMMYFUNCTION("IMPORTRANGE(""https://docs.google.com/spreadsheets/d/1QqKyyYR6Q21VydFLVH3TRQUabQu_ym0Zz7PgGX0-kHA/edit?usp=sharing"",""แผน!EH42"")"),8)</f>
        <v>8</v>
      </c>
      <c r="J340" s="269">
        <f ca="1">IFERROR(__xludf.DUMMYFUNCTION("IMPORTRANGE(""https://docs.google.com/spreadsheets/d/1kVcqe37tkHyjCSG3S0O1AXqVkqjo8mSIZil3BcpIysc/edit?usp=sharing"",""ศูนย์!E42"")"),0)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IFERROR(__xludf.DUMMYFUNCTION("IMPORTRANGE(""https://docs.google.com/spreadsheets/d/1kVcqe37tkHyjCSG3S0O1AXqVkqjo8mSIZil3BcpIysc/edit?usp=sharing"",""ศูนย์!F42"")"),0)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IFERROR(__xludf.DUMMYFUNCTION("IMPORTRANGE(""https://docs.google.com/spreadsheets/d/1kVcqe37tkHyjCSG3S0O1AXqVkqjo8mSIZil3BcpIysc/edit?usp=sharing"",""ศูนย์!G42"")"),0)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IFERROR(__xludf.DUMMYFUNCTION("IMPORTRANGE(""https://docs.google.com/spreadsheets/d/1kVcqe37tkHyjCSG3S0O1AXqVkqjo8mSIZil3BcpIysc/edit?usp=sharing"",""ศูนย์!H42"")"),0)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1261590</v>
      </c>
      <c r="M345" s="155">
        <f t="shared" ca="1" si="154"/>
        <v>739550</v>
      </c>
      <c r="N345" s="155">
        <f t="shared" ca="1" si="154"/>
        <v>349396.98</v>
      </c>
      <c r="O345" s="155">
        <f t="shared" ref="O345:O353" ca="1" si="155">IF(L345&gt;0,N345*100/L345,0)</f>
        <v>27.694970632297338</v>
      </c>
      <c r="P345" s="155">
        <f t="shared" ref="P345:P353" ca="1" si="156">IF(M345&gt;0,N345*100/M345,0)</f>
        <v>47.244537894665676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1261590</v>
      </c>
      <c r="M347" s="93">
        <f t="shared" ca="1" si="157"/>
        <v>739550</v>
      </c>
      <c r="N347" s="93">
        <f t="shared" ca="1" si="157"/>
        <v>349396.98</v>
      </c>
      <c r="O347" s="93">
        <f t="shared" ca="1" si="155"/>
        <v>27.694970632297338</v>
      </c>
      <c r="P347" s="93">
        <f t="shared" ca="1" si="156"/>
        <v>47.244537894665676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1044090</v>
      </c>
      <c r="M348" s="496">
        <f t="shared" ca="1" si="158"/>
        <v>522050</v>
      </c>
      <c r="N348" s="496">
        <f t="shared" ca="1" si="158"/>
        <v>131896.98000000001</v>
      </c>
      <c r="O348" s="496">
        <f t="shared" ca="1" si="155"/>
        <v>12.632721317127835</v>
      </c>
      <c r="P348" s="496">
        <f t="shared" ca="1" si="156"/>
        <v>25.265200651278615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IFERROR(__xludf.DUMMYFUNCTION("IMPORTRANGE(""https://docs.google.com/spreadsheets/d/1MeEWN-I1oV_STSDYn1IFDPWt_1FKiwhDph83XaGc0o0/edit?usp=sharing"",""งบพรบ!FB42"")"),522050)</f>
        <v>522050</v>
      </c>
      <c r="N350" s="93">
        <f ca="1">IFERROR(__xludf.DUMMYFUNCTION("IMPORTRANGE(""https://docs.google.com/spreadsheets/d/1MeEWN-I1oV_STSDYn1IFDPWt_1FKiwhDph83XaGc0o0/edit?usp=sharing"",""งบพรบ!FD42"")"),131896.98)</f>
        <v>131896.98000000001</v>
      </c>
      <c r="O350" s="93">
        <f t="shared" ca="1" si="155"/>
        <v>12.632721317127835</v>
      </c>
      <c r="P350" s="93">
        <f t="shared" ca="1" si="156"/>
        <v>25.265200651278615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217500</v>
      </c>
      <c r="M351" s="496">
        <f t="shared" ca="1" si="159"/>
        <v>217500</v>
      </c>
      <c r="N351" s="496">
        <f t="shared" ca="1" si="159"/>
        <v>217500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IFERROR(__xludf.DUMMYFUNCTION("IMPORTRANGE(""https://docs.google.com/spreadsheets/d/1QqKyyYR6Q21VydFLVH3TRQUabQu_ym0Zz7PgGX0-kHA/edit?usp=sharing"",""แผน!EP42"")"),670)</f>
        <v>670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IFERROR(__xludf.DUMMYFUNCTION("IMPORTRANGE(""https://docs.google.com/spreadsheets/d/1XWAQStnk-4SwqDmLtmXYiTMKHgktTP8We1SCoS47DrQ/edit?usp=sharing"",""จัดที่ดิน!W42"")"),23)</f>
        <v>23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IFERROR(__xludf.DUMMYFUNCTION("IMPORTRANGE(""https://docs.google.com/spreadsheets/d/1QqKyyYR6Q21VydFLVH3TRQUabQu_ym0Zz7PgGX0-kHA/edit?usp=sharing"",""แผน!EO42"")"),6700)</f>
        <v>6700</v>
      </c>
      <c r="J359" s="269">
        <f ca="1">IFERROR(__xludf.DUMMYFUNCTION("IMPORTRANGE(""https://docs.google.com/spreadsheets/d/1XWAQStnk-4SwqDmLtmXYiTMKHgktTP8We1SCoS47DrQ/edit?usp=sharing"",""จัดที่ดิน!X42"")"),171.24)</f>
        <v>171.24</v>
      </c>
      <c r="K359" s="496">
        <f t="shared" ca="1" si="160"/>
        <v>2.555820895522388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IFERROR(__xludf.DUMMYFUNCTION("IMPORTRANGE(""https://docs.google.com/spreadsheets/d/1QqKyyYR6Q21VydFLVH3TRQUabQu_ym0Zz7PgGX0-kHA/edit?usp=sharing"",""แผน!EP42"")"),670)</f>
        <v>670</v>
      </c>
      <c r="J360" s="269">
        <f ca="1">IFERROR(__xludf.DUMMYFUNCTION("IMPORTRANGE(""https://docs.google.com/spreadsheets/d/1XWAQStnk-4SwqDmLtmXYiTMKHgktTP8We1SCoS47DrQ/edit?usp=sharing"",""จัดที่ดิน!Y42"")"),26)</f>
        <v>26</v>
      </c>
      <c r="K360" s="496">
        <f t="shared" ca="1" si="160"/>
        <v>3.8805970149253732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IFERROR(__xludf.DUMMYFUNCTION("IMPORTRANGE(""https://docs.google.com/spreadsheets/d/1XWAQStnk-4SwqDmLtmXYiTMKHgktTP8We1SCoS47DrQ/edit?usp=sharing"",""จัดที่ดิน!Z42"")"),205.89)</f>
        <v>205.89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IFERROR(__xludf.DUMMYFUNCTION("IMPORTRANGE(""https://docs.google.com/spreadsheets/d/1QqKyyYR6Q21VydFLVH3TRQUabQu_ym0Zz7PgGX0-kHA/edit?usp=sharing"",""แผน!EP42"")"),670)</f>
        <v>670</v>
      </c>
      <c r="J362" s="269">
        <f ca="1">IFERROR(__xludf.DUMMYFUNCTION("IMPORTRANGE(""https://docs.google.com/spreadsheets/d/1XWAQStnk-4SwqDmLtmXYiTMKHgktTP8We1SCoS47DrQ/edit?usp=sharing"",""จัดที่ดิน!AA42"")"),0)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IFERROR(__xludf.DUMMYFUNCTION("IMPORTRANGE(""https://docs.google.com/spreadsheets/d/1XWAQStnk-4SwqDmLtmXYiTMKHgktTP8We1SCoS47DrQ/edit?usp=sharing"",""จัดที่ดิน!AB42"")"),0)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1120</v>
      </c>
      <c r="J364" s="477">
        <f t="shared" ca="1" si="161"/>
        <v>26</v>
      </c>
      <c r="K364" s="478">
        <f t="shared" ca="1" si="160"/>
        <v>2.3214285714285716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IFERROR(__xludf.DUMMYFUNCTION("IMPORTRANGE(""https://docs.google.com/spreadsheets/d/1QqKyyYR6Q21VydFLVH3TRQUabQu_ym0Zz7PgGX0-kHA/edit?usp=sharing"",""แผน!EJ42"")"),120)</f>
        <v>120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IFERROR(__xludf.DUMMYFUNCTION("IMPORTRANGE(""https://docs.google.com/spreadsheets/d/1XWAQStnk-4SwqDmLtmXYiTMKHgktTP8We1SCoS47DrQ/edit?usp=sharing"",""จัดที่ดิน!E42"")"),0)</f>
        <v>0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IFERROR(__xludf.DUMMYFUNCTION("IMPORTRANGE(""https://docs.google.com/spreadsheets/d/1QqKyyYR6Q21VydFLVH3TRQUabQu_ym0Zz7PgGX0-kHA/edit?usp=sharing"",""แผน!EI42"")"),1200)</f>
        <v>1200</v>
      </c>
      <c r="J369" s="269">
        <f ca="1">IFERROR(__xludf.DUMMYFUNCTION("IMPORTRANGE(""https://docs.google.com/spreadsheets/d/1XWAQStnk-4SwqDmLtmXYiTMKHgktTP8We1SCoS47DrQ/edit?usp=sharing"",""จัดที่ดิน!F42"")"),0)</f>
        <v>0</v>
      </c>
      <c r="K369" s="496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IFERROR(__xludf.DUMMYFUNCTION("IMPORTRANGE(""https://docs.google.com/spreadsheets/d/1QqKyyYR6Q21VydFLVH3TRQUabQu_ym0Zz7PgGX0-kHA/edit?usp=sharing"",""แผน!EJ42"")"),120)</f>
        <v>120</v>
      </c>
      <c r="J370" s="269">
        <f ca="1">IFERROR(__xludf.DUMMYFUNCTION("IMPORTRANGE(""https://docs.google.com/spreadsheets/d/1XWAQStnk-4SwqDmLtmXYiTMKHgktTP8We1SCoS47DrQ/edit?usp=sharing"",""จัดที่ดิน!G42"")"),3)</f>
        <v>3</v>
      </c>
      <c r="K370" s="496">
        <f t="shared" ca="1" si="162"/>
        <v>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IFERROR(__xludf.DUMMYFUNCTION("IMPORTRANGE(""https://docs.google.com/spreadsheets/d/1XWAQStnk-4SwqDmLtmXYiTMKHgktTP8We1SCoS47DrQ/edit?usp=sharing"",""จัดที่ดิน!H42"")"),34.65)</f>
        <v>34.65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IFERROR(__xludf.DUMMYFUNCTION("IMPORTRANGE(""https://docs.google.com/spreadsheets/d/1QqKyyYR6Q21VydFLVH3TRQUabQu_ym0Zz7PgGX0-kHA/edit?usp=sharing"",""แผน!EJ42"")"),120)</f>
        <v>120</v>
      </c>
      <c r="J372" s="269">
        <f ca="1">IFERROR(__xludf.DUMMYFUNCTION("IMPORTRANGE(""https://docs.google.com/spreadsheets/d/1XWAQStnk-4SwqDmLtmXYiTMKHgktTP8We1SCoS47DrQ/edit?usp=sharing"",""จัดที่ดิน!I42"")"),0)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IFERROR(__xludf.DUMMYFUNCTION("IMPORTRANGE(""https://docs.google.com/spreadsheets/d/1XWAQStnk-4SwqDmLtmXYiTMKHgktTP8We1SCoS47DrQ/edit?usp=sharing"",""จัดที่ดิน!J42"")"),0)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IFERROR(__xludf.DUMMYFUNCTION("IMPORTRANGE(""https://docs.google.com/spreadsheets/d/1QqKyyYR6Q21VydFLVH3TRQUabQu_ym0Zz7PgGX0-kHA/edit?usp=sharing"",""แผน!EU42"")"),1000)</f>
        <v>1000</v>
      </c>
      <c r="J374" s="489">
        <f ca="1">J381</f>
        <v>26</v>
      </c>
      <c r="K374" s="490">
        <f t="shared" ca="1" si="162"/>
        <v>2.6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IFERROR(__xludf.DUMMYFUNCTION("IMPORTRANGE(""https://docs.google.com/spreadsheets/d/1XWAQStnk-4SwqDmLtmXYiTMKHgktTP8We1SCoS47DrQ/edit?usp=sharing"",""จัดที่ดิน!AH42"")"),23)</f>
        <v>23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IFERROR(__xludf.DUMMYFUNCTION("IMPORTRANGE(""https://docs.google.com/spreadsheets/d/1QqKyyYR6Q21VydFLVH3TRQUabQu_ym0Zz7PgGX0-kHA/edit?usp=sharing"",""แผน!ET42"")"),5500)</f>
        <v>5500</v>
      </c>
      <c r="J378" s="269">
        <f ca="1">IFERROR(__xludf.DUMMYFUNCTION("IMPORTRANGE(""https://docs.google.com/spreadsheets/d/1XWAQStnk-4SwqDmLtmXYiTMKHgktTP8We1SCoS47DrQ/edit?usp=sharing"",""จัดที่ดิน!AI42"")"),171.24)</f>
        <v>171.24</v>
      </c>
      <c r="K378" s="496">
        <f t="shared" ca="1" si="163"/>
        <v>3.1134545454545455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IFERROR(__xludf.DUMMYFUNCTION("IMPORTRANGE(""https://docs.google.com/spreadsheets/d/1QqKyyYR6Q21VydFLVH3TRQUabQu_ym0Zz7PgGX0-kHA/edit?usp=sharing"",""แผน!EU42"")"),1000)</f>
        <v>1000</v>
      </c>
      <c r="J379" s="269">
        <f ca="1">IFERROR(__xludf.DUMMYFUNCTION("IMPORTRANGE(""https://docs.google.com/spreadsheets/d/1XWAQStnk-4SwqDmLtmXYiTMKHgktTP8We1SCoS47DrQ/edit?usp=sharing"",""จัดที่ดิน!AJ42"")"),331)</f>
        <v>331</v>
      </c>
      <c r="K379" s="496">
        <f t="shared" ca="1" si="163"/>
        <v>33.1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IFERROR(__xludf.DUMMYFUNCTION("IMPORTRANGE(""https://docs.google.com/spreadsheets/d/1XWAQStnk-4SwqDmLtmXYiTMKHgktTP8We1SCoS47DrQ/edit?usp=sharing"",""จัดที่ดิน!AK42"")"),3666.73)</f>
        <v>3666.73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IFERROR(__xludf.DUMMYFUNCTION("IMPORTRANGE(""https://docs.google.com/spreadsheets/d/1QqKyyYR6Q21VydFLVH3TRQUabQu_ym0Zz7PgGX0-kHA/edit?usp=sharing"",""แผน!EU42"")"),1000)</f>
        <v>1000</v>
      </c>
      <c r="J381" s="269">
        <f ca="1">IFERROR(__xludf.DUMMYFUNCTION("IMPORTRANGE(""https://docs.google.com/spreadsheets/d/1XWAQStnk-4SwqDmLtmXYiTMKHgktTP8We1SCoS47DrQ/edit?usp=sharing"",""จัดที่ดิน!AL42"")"),26)</f>
        <v>26</v>
      </c>
      <c r="K381" s="496">
        <f t="shared" ca="1" si="163"/>
        <v>2.6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IFERROR(__xludf.DUMMYFUNCTION("IMPORTRANGE(""https://docs.google.com/spreadsheets/d/1XWAQStnk-4SwqDmLtmXYiTMKHgktTP8We1SCoS47DrQ/edit?usp=sharing"",""จัดที่ดิน!AM42"")"),247.75)</f>
        <v>247.75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IFERROR(__xludf.DUMMYFUNCTION("IMPORTRANGE(""https://docs.google.com/spreadsheets/d/1QqKyyYR6Q21VydFLVH3TRQUabQu_ym0Zz7PgGX0-kHA/edit?usp=sharing"",""แผน!EW42"")"),100)</f>
        <v>100</v>
      </c>
      <c r="J385" s="499">
        <f ca="1">IFERROR(__xludf.DUMMYFUNCTION("IMPORTRANGE(""https://docs.google.com/spreadsheets/d/1XWAQStnk-4SwqDmLtmXYiTMKHgktTP8We1SCoS47DrQ/edit?usp=sharing"",""จัดที่ดิน!AP42"")"),0)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2405297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IFERROR(__xludf.DUMMYFUNCTION("IMPORTRANGE(""https://docs.google.com/spreadsheets/d/1QqKyyYR6Q21VydFLVH3TRQUabQu_ym0Zz7PgGX0-kHA/edit?usp=sharing"",""แผน!FC42"")"),20)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IFERROR(__xludf.DUMMYFUNCTION("IMPORTRANGE(""https://docs.google.com/spreadsheets/d/1QqKyyYR6Q21VydFLVH3TRQUabQu_ym0Zz7PgGX0-kHA/edit?usp=sharing"",""แผน!FD42"")"),0)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IFERROR(__xludf.DUMMYFUNCTION("IMPORTRANGE(""https://docs.google.com/spreadsheets/d/1QqKyyYR6Q21VydFLVH3TRQUabQu_ym0Zz7PgGX0-kHA/edit?usp=sharing"",""แผน!FE42"")"),0)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IFERROR(__xludf.DUMMYFUNCTION("IMPORTRANGE(""https://docs.google.com/spreadsheets/d/1QqKyyYR6Q21VydFLVH3TRQUabQu_ym0Zz7PgGX0-kHA/edit?usp=sharing"",""แผน!FF42"")"),20)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IFERROR(__xludf.DUMMYFUNCTION("IMPORTRANGE(""https://docs.google.com/spreadsheets/d/1QqKyyYR6Q21VydFLVH3TRQUabQu_ym0Zz7PgGX0-kHA/edit?usp=sharing"",""แผน!FG42"")"),1)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IFERROR(__xludf.DUMMYFUNCTION("IMPORTRANGE(""https://docs.google.com/spreadsheets/d/1QqKyyYR6Q21VydFLVH3TRQUabQu_ym0Zz7PgGX0-kHA/edit?usp=sharing"",""แผน!FH42"")"),0)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100</v>
      </c>
      <c r="J442" s="583">
        <f t="shared" si="194"/>
        <v>100</v>
      </c>
      <c r="K442" s="584">
        <f t="shared" ca="1" si="193"/>
        <v>100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400</v>
      </c>
      <c r="J443" s="563">
        <f t="shared" si="195"/>
        <v>400</v>
      </c>
      <c r="K443" s="564">
        <f t="shared" ca="1" si="193"/>
        <v>100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688280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688280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688280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IFERROR(__xludf.DUMMYFUNCTION("IMPORTRANGE(""https://docs.google.com/spreadsheets/d/1QqKyyYR6Q21VydFLVH3TRQUabQu_ym0Zz7PgGX0-kHA/edit?usp=sharing"",""แผน!FN42"")"),100)</f>
        <v>100</v>
      </c>
      <c r="J460" s="214">
        <v>100</v>
      </c>
      <c r="K460" s="496">
        <f ca="1">IF(I460&gt;0,J460*100/I460,0)</f>
        <v>100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IFERROR(__xludf.DUMMYFUNCTION("IMPORTRANGE(""https://docs.google.com/spreadsheets/d/1QqKyyYR6Q21VydFLVH3TRQUabQu_ym0Zz7PgGX0-kHA/edit?usp=sharing"",""แผน!FO42"")"),400)</f>
        <v>400</v>
      </c>
      <c r="J462" s="214">
        <v>400</v>
      </c>
      <c r="K462" s="496">
        <f ca="1">IF(I462&gt;0,J462*100/I462,0)</f>
        <v>100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IFERROR(__xludf.DUMMYFUNCTION("IMPORTRANGE(""https://docs.google.com/spreadsheets/d/1QqKyyYR6Q21VydFLVH3TRQUabQu_ym0Zz7PgGX0-kHA/edit?usp=sharing"",""แผน!FO42"")"),400)</f>
        <v>400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IFERROR(__xludf.DUMMYFUNCTION("IMPORTRANGE(""https://docs.google.com/spreadsheets/d/1QqKyyYR6Q21VydFLVH3TRQUabQu_ym0Zz7PgGX0-kHA/edit?usp=sharing"",""แผน!FN42"")"),100)</f>
        <v>100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IFERROR(__xludf.DUMMYFUNCTION("IMPORTRANGE(""https://docs.google.com/spreadsheets/d/1QqKyyYR6Q21VydFLVH3TRQUabQu_ym0Zz7PgGX0-kHA/edit?usp=sharing"",""แผน!FX42"")"),61)</f>
        <v>61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IFERROR(__xludf.DUMMYFUNCTION("IMPORTRANGE(""https://docs.google.com/spreadsheets/d/1QqKyyYR6Q21VydFLVH3TRQUabQu_ym0Zz7PgGX0-kHA/edit?usp=sharing"",""แผน!FW42"")"),600)</f>
        <v>600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481323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481323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481323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IFERROR(__xludf.DUMMYFUNCTION("IMPORTRANGE(""https://docs.google.com/spreadsheets/d/1QqKyyYR6Q21VydFLVH3TRQUabQu_ym0Zz7PgGX0-kHA/edit?usp=sharing"",""แผน!FS42"")"),481323)</f>
        <v>481323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IFERROR(__xludf.DUMMYFUNCTION("IMPORTRANGE(""https://docs.google.com/spreadsheets/d/1QqKyyYR6Q21VydFLVH3TRQUabQu_ym0Zz7PgGX0-kHA/edit?usp=sharing"",""แผน!FY42"")"),540)</f>
        <v>540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IFERROR(__xludf.DUMMYFUNCTION("IMPORTRANGE(""https://docs.google.com/spreadsheets/d/1QqKyyYR6Q21VydFLVH3TRQUabQu_ym0Zz7PgGX0-kHA/edit?usp=sharing"",""แผน!FZ42"")"),54)</f>
        <v>54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IFERROR(__xludf.DUMMYFUNCTION("IMPORTRANGE(""https://docs.google.com/spreadsheets/d/1QqKyyYR6Q21VydFLVH3TRQUabQu_ym0Zz7PgGX0-kHA/edit?usp=sharing"",""แผน!GA42"")"),60)</f>
        <v>60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IFERROR(__xludf.DUMMYFUNCTION("IMPORTRANGE(""https://docs.google.com/spreadsheets/d/1QqKyyYR6Q21VydFLVH3TRQUabQu_ym0Zz7PgGX0-kHA/edit?usp=sharing"",""แผน!GB42"")"),6)</f>
        <v>6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IFERROR(__xludf.DUMMYFUNCTION("IMPORTRANGE(""https://docs.google.com/spreadsheets/d/1QqKyyYR6Q21VydFLVH3TRQUabQu_ym0Zz7PgGX0-kHA/edit?usp=sharing"",""แผน!GC42"")"),1)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IFERROR(__xludf.DUMMYFUNCTION("IMPORTRANGE(""https://docs.google.com/spreadsheets/d/1QqKyyYR6Q21VydFLVH3TRQUabQu_ym0Zz7PgGX0-kHA/edit?usp=sharing"",""แผน!FY42"")"),540)</f>
        <v>540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IFERROR(__xludf.DUMMYFUNCTION("IMPORTRANGE(""https://docs.google.com/spreadsheets/d/1QqKyyYR6Q21VydFLVH3TRQUabQu_ym0Zz7PgGX0-kHA/edit?usp=sharing"",""แผน!GA42"")"),60)</f>
        <v>60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IFERROR(__xludf.DUMMYFUNCTION("IMPORTRANGE(""https://docs.google.com/spreadsheets/d/1QqKyyYR6Q21VydFLVH3TRQUabQu_ym0Zz7PgGX0-kHA/edit?usp=sharing"",""แผน!GU42"")"),0)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IFERROR(__xludf.DUMMYFUNCTION("IMPORTRANGE(""https://docs.google.com/spreadsheets/d/1QqKyyYR6Q21VydFLVH3TRQUabQu_ym0Zz7PgGX0-kHA/edit?usp=sharing"",""แผน!GV42"")"),0)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IFERROR(__xludf.DUMMYFUNCTION("IMPORTRANGE(""https://docs.google.com/spreadsheets/d/1QqKyyYR6Q21VydFLVH3TRQUabQu_ym0Zz7PgGX0-kHA/edit?usp=sharing"",""แผน!GW42"")"),0)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IFERROR(__xludf.DUMMYFUNCTION("IMPORTRANGE(""https://docs.google.com/spreadsheets/d/1QqKyyYR6Q21VydFLVH3TRQUabQu_ym0Zz7PgGX0-kHA/edit?usp=sharing"",""แผน!GX42"")"),0)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IFERROR(__xludf.DUMMYFUNCTION("IMPORTRANGE(""https://docs.google.com/spreadsheets/d/1QqKyyYR6Q21VydFLVH3TRQUabQu_ym0Zz7PgGX0-kHA/edit?usp=sharing"",""แผน!GY42"")"),0)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IFERROR(__xludf.DUMMYFUNCTION("IMPORTRANGE(""https://docs.google.com/spreadsheets/d/1QqKyyYR6Q21VydFLVH3TRQUabQu_ym0Zz7PgGX0-kHA/edit?usp=sharing"",""แผน!GZ42"")"),0)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63455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433769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433769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433769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IFERROR(__xludf.DUMMYFUNCTION("IMPORTRANGE(""https://docs.google.com/spreadsheets/d/1QqKyyYR6Q21VydFLVH3TRQUabQu_ym0Zz7PgGX0-kHA/edit?usp=sharing"",""แผน!HB42"")"),433769)</f>
        <v>433769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63455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IFERROR(__xludf.DUMMYFUNCTION("IMPORTRANGE(""https://docs.google.com/spreadsheets/d/1QqKyyYR6Q21VydFLVH3TRQUabQu_ym0Zz7PgGX0-kHA/edit?usp=sharing"",""แผน!HH42"")"),63455)</f>
        <v>63455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IFERROR(__xludf.DUMMYFUNCTION("IMPORTRANGE(""https://docs.google.com/spreadsheets/d/1QqKyyYR6Q21VydFLVH3TRQUabQu_ym0Zz7PgGX0-kHA/edit?usp=sharing"",""แผน!HH42"")"),63455)</f>
        <v>63455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IFERROR(__xludf.DUMMYFUNCTION("IMPORTRANGE(""https://docs.google.com/spreadsheets/d/1QqKyyYR6Q21VydFLVH3TRQUabQu_ym0Zz7PgGX0-kHA/edit?usp=sharing"",""แผน!HH42"")"),63455)</f>
        <v>63455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2600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IFERROR(__xludf.DUMMYFUNCTION("IMPORTRANGE(""https://docs.google.com/spreadsheets/d/1QqKyyYR6Q21VydFLVH3TRQUabQu_ym0Zz7PgGX0-kHA/edit?usp=sharing"",""แผน!HJ42"")"),2600)</f>
        <v>2600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IFERROR(__xludf.DUMMYFUNCTION("IMPORTRANGE(""https://docs.google.com/spreadsheets/d/1QqKyyYR6Q21VydFLVH3TRQUabQu_ym0Zz7PgGX0-kHA/edit?usp=sharing"",""แผน!HI42"")"),260)</f>
        <v>260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IFERROR(__xludf.DUMMYFUNCTION("IMPORTRANGE(""https://docs.google.com/spreadsheets/d/1QqKyyYR6Q21VydFLVH3TRQUabQu_ym0Zz7PgGX0-kHA/edit?usp=sharing"",""แผน!HL42"")"),0)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IFERROR(__xludf.DUMMYFUNCTION("IMPORTRANGE(""https://docs.google.com/spreadsheets/d/1QqKyyYR6Q21VydFLVH3TRQUabQu_ym0Zz7PgGX0-kHA/edit?usp=sharing"",""แผน!HK42"")"),0)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210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442125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442125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442125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IFERROR(__xludf.DUMMYFUNCTION("IMPORTRANGE(""https://docs.google.com/spreadsheets/d/1QqKyyYR6Q21VydFLVH3TRQUabQu_ym0Zz7PgGX0-kHA/edit?usp=sharing"",""แผน!HR42"")"),0)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IFERROR(__xludf.DUMMYFUNCTION("IMPORTRANGE(""https://docs.google.com/spreadsheets/d/1QqKyyYR6Q21VydFLVH3TRQUabQu_ym0Zz7PgGX0-kHA/edit?usp=sharing"",""แผน!HR42"")"),0)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IFERROR(__xludf.DUMMYFUNCTION("IMPORTRANGE(""https://docs.google.com/spreadsheets/d/1XWAQStnk-4SwqDmLtmXYiTMKHgktTP8We1SCoS47DrQ/edit?usp=sharing"",""จัดที่ดิน!AS42"")"),55)</f>
        <v>55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IFERROR(__xludf.DUMMYFUNCTION("IMPORTRANGE(""https://docs.google.com/spreadsheets/d/1XWAQStnk-4SwqDmLtmXYiTMKHgktTP8We1SCoS47DrQ/edit?usp=sharing"",""จัดที่ดิน!AT42"")"),30.42)</f>
        <v>30.42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IFERROR(__xludf.DUMMYFUNCTION("IMPORTRANGE(""https://docs.google.com/spreadsheets/d/1QqKyyYR6Q21VydFLVH3TRQUabQu_ym0Zz7PgGX0-kHA/edit?usp=sharing"",""แผน!HS42"")"),210)</f>
        <v>210</v>
      </c>
      <c r="J647" s="269">
        <f ca="1">IFERROR(__xludf.DUMMYFUNCTION("IMPORTRANGE(""https://docs.google.com/spreadsheets/d/1XWAQStnk-4SwqDmLtmXYiTMKHgktTP8We1SCoS47DrQ/edit?usp=sharing"",""จัดที่ดิน!AU42"")"),1)</f>
        <v>1</v>
      </c>
      <c r="K647" s="163">
        <f t="shared" ca="1" si="270"/>
        <v>0.47619047619047616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IFERROR(__xludf.DUMMYFUNCTION("IMPORTRANGE(""https://docs.google.com/spreadsheets/d/1XWAQStnk-4SwqDmLtmXYiTMKHgktTP8We1SCoS47DrQ/edit?usp=sharing"",""จัดที่ดิน!AV42"")"),0.56)</f>
        <v>0.56000000000000005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IFERROR(__xludf.DUMMYFUNCTION("IMPORTRANGE(""https://docs.google.com/spreadsheets/d/1QqKyyYR6Q21VydFLVH3TRQUabQu_ym0Zz7PgGX0-kHA/edit?usp=sharing"",""แผน!HS42"")"),210)</f>
        <v>210</v>
      </c>
      <c r="J649" s="269">
        <f ca="1">IFERROR(__xludf.DUMMYFUNCTION("IMPORTRANGE(""https://docs.google.com/spreadsheets/d/1XWAQStnk-4SwqDmLtmXYiTMKHgktTP8We1SCoS47DrQ/edit?usp=sharing"",""จัดที่ดิน!AW42"")"),0)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IFERROR(__xludf.DUMMYFUNCTION("IMPORTRANGE(""https://docs.google.com/spreadsheets/d/1XWAQStnk-4SwqDmLtmXYiTMKHgktTP8We1SCoS47DrQ/edit?usp=sharing"",""จัดที่ดิน!AX42"")"),0)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IFERROR(__xludf.DUMMYFUNCTION("IMPORTRANGE(""https://docs.google.com/spreadsheets/d/1QqKyyYR6Q21VydFLVH3TRQUabQu_ym0Zz7PgGX0-kHA/edit?usp=sharing"",""แผน!HS42"")"),210)</f>
        <v>210</v>
      </c>
      <c r="J651" s="269">
        <f ca="1">IFERROR(__xludf.DUMMYFUNCTION("IMPORTRANGE(""https://docs.google.com/spreadsheets/d/1XWAQStnk-4SwqDmLtmXYiTMKHgktTP8We1SCoS47DrQ/edit?usp=sharing"",""จัดที่ดิน!AY42"")"),0)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IFERROR(__xludf.DUMMYFUNCTION("IMPORTRANGE(""https://docs.google.com/spreadsheets/d/1XWAQStnk-4SwqDmLtmXYiTMKHgktTP8We1SCoS47DrQ/edit?usp=sharing"",""จัดที่ดิน!AZ42"")"),0)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50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12600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12600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12600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IFERROR(__xludf.DUMMYFUNCTION("IMPORTRANGE(""https://docs.google.com/spreadsheets/d/1QqKyyYR6Q21VydFLVH3TRQUabQu_ym0Zz7PgGX0-kHA/edit?usp=sharing"",""แผน!IA42"")"),50)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IFERROR(__xludf.DUMMYFUNCTION("IMPORTRANGE(""https://docs.google.com/spreadsheets/d/1QqKyyYR6Q21VydFLVH3TRQUabQu_ym0Zz7PgGX0-kHA/edit?usp=sharing"",""แผน!HZ42"")"),6)</f>
        <v>6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IFERROR(__xludf.DUMMYFUNCTION("IMPORTRANGE(""https://docs.google.com/spreadsheets/d/1QqKyyYR6Q21VydFLVH3TRQUabQu_ym0Zz7PgGX0-kHA/edit?usp=sharing"",""แผน!HZ42"")"),6)</f>
        <v>6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IFERROR(__xludf.DUMMYFUNCTION("IMPORTRANGE(""https://docs.google.com/spreadsheets/d/1QqKyyYR6Q21VydFLVH3TRQUabQu_ym0Zz7PgGX0-kHA/edit?usp=sharing"",""แผน!IB42"")"),0)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1980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1980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1980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IFERROR(__xludf.DUMMYFUNCTION("IMPORTRANGE(""https://docs.google.com/spreadsheets/d/1QqKyyYR6Q21VydFLVH3TRQUabQu_ym0Zz7PgGX0-kHA/edit?usp=sharing"",""แผน!IC42"")"),0)</f>
        <v>0</v>
      </c>
      <c r="J699" s="269">
        <f ca="1">IFERROR(__xludf.DUMMYFUNCTION("IMPORTRANGE(""https://docs.google.com/spreadsheets/d/1XWAQStnk-4SwqDmLtmXYiTMKHgktTP8We1SCoS47DrQ/edit?usp=sharing"",""จัดที่ดิน!BB42"")"),0)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IFERROR(__xludf.DUMMYFUNCTION("IMPORTRANGE(""https://docs.google.com/spreadsheets/d/1QqKyyYR6Q21VydFLVH3TRQUabQu_ym0Zz7PgGX0-kHA/edit?usp=sharing"",""แผน!ID42"")"),0)</f>
        <v>0</v>
      </c>
      <c r="J700" s="269">
        <f ca="1">IFERROR(__xludf.DUMMYFUNCTION("IMPORTRANGE(""https://docs.google.com/spreadsheets/d/1XWAQStnk-4SwqDmLtmXYiTMKHgktTP8We1SCoS47DrQ/edit?usp=sharing"",""จัดที่ดิน!BD42"")"),0)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IFERROR(__xludf.DUMMYFUNCTION("IMPORTRANGE(""https://docs.google.com/spreadsheets/d/1QqKyyYR6Q21VydFLVH3TRQUabQu_ym0Zz7PgGX0-kHA/edit?usp=sharing"",""แผน!IE42"")"),14)</f>
        <v>14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IFERROR(__xludf.DUMMYFUNCTION("IMPORTRANGE(""https://docs.google.com/spreadsheets/d/1QqKyyYR6Q21VydFLVH3TRQUabQu_ym0Zz7PgGX0-kHA/edit?usp=sharing"",""แผน!IF42"")"),14)</f>
        <v>14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IFERROR(__xludf.DUMMYFUNCTION("IMPORTRANGE(""https://docs.google.com/spreadsheets/d/1QqKyyYR6Q21VydFLVH3TRQUabQu_ym0Zz7PgGX0-kHA/edit?usp=sharing"",""แผน!IG42"")"),0)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IFERROR(__xludf.DUMMYFUNCTION("IMPORTRANGE(""https://docs.google.com/spreadsheets/d/1QqKyyYR6Q21VydFLVH3TRQUabQu_ym0Zz7PgGX0-kHA/edit?usp=sharing"",""แผน!IH42"")"),14)</f>
        <v>14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IFERROR(__xludf.DUMMYFUNCTION("IMPORTRANGE(""https://docs.google.com/spreadsheets/d/1XWAQStnk-4SwqDmLtmXYiTMKHgktTP8We1SCoS47DrQ/edit?usp=sharing"",""จัดที่ดิน!BF42"")"),0)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IFERROR(__xludf.DUMMYFUNCTION("IMPORTRANGE(""https://docs.google.com/spreadsheets/d/1XWAQStnk-4SwqDmLtmXYiTMKHgktTP8We1SCoS47DrQ/edit?usp=sharing"",""จัดที่ดิน!BG42"")"),0)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IFERROR(__xludf.DUMMYFUNCTION("IMPORTRANGE(""https://docs.google.com/spreadsheets/d/1QqKyyYR6Q21VydFLVH3TRQUabQu_ym0Zz7PgGX0-kHA/edit?usp=sharing"",""แผน!II42"")"),14)</f>
        <v>14</v>
      </c>
      <c r="J720" s="269">
        <f ca="1">IFERROR(__xludf.DUMMYFUNCTION("IMPORTRANGE(""https://docs.google.com/spreadsheets/d/1XWAQStnk-4SwqDmLtmXYiTMKHgktTP8We1SCoS47DrQ/edit?usp=sharing"",""จัดที่ดิน!BH42"")"),0)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IFERROR(__xludf.DUMMYFUNCTION("IMPORTRANGE(""https://docs.google.com/spreadsheets/d/1QqKyyYR6Q21VydFLVH3TRQUabQu_ym0Zz7PgGX0-kHA/edit?usp=sharing"",""แผน!IJ42"")"),0)</f>
        <v>0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IFERROR(__xludf.DUMMYFUNCTION("IMPORTRANGE(""https://docs.google.com/spreadsheets/d/1QqKyyYR6Q21VydFLVH3TRQUabQu_ym0Zz7PgGX0-kHA/edit?usp=sharing"",""แผน!IK42"")"),0)</f>
        <v>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IFERROR(__xludf.DUMMYFUNCTION("IMPORTRANGE(""https://docs.google.com/spreadsheets/d/1QqKyyYR6Q21VydFLVH3TRQUabQu_ym0Zz7PgGX0-kHA/edit?usp=sharing"",""แผน!IL42"")"),0)</f>
        <v>0</v>
      </c>
      <c r="J723" s="269">
        <f ca="1">IFERROR(__xludf.DUMMYFUNCTION("IMPORTRANGE(""https://docs.google.com/spreadsheets/d/1XWAQStnk-4SwqDmLtmXYiTMKHgktTP8We1SCoS47DrQ/edit?usp=sharing"",""จัดที่ดิน!BM42"")"),0)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IFERROR(__xludf.DUMMYFUNCTION("IMPORTRANGE(""https://docs.google.com/spreadsheets/d/1XWAQStnk-4SwqDmLtmXYiTMKHgktTP8We1SCoS47DrQ/edit?usp=sharing"",""จัดที่ดิน!BN42"")"),0)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IFERROR(__xludf.DUMMYFUNCTION("IMPORTRANGE(""https://docs.google.com/spreadsheets/d/1QqKyyYR6Q21VydFLVH3TRQUabQu_ym0Zz7PgGX0-kHA/edit?usp=sharing"",""แผน!IM42"")"),0)</f>
        <v>0</v>
      </c>
      <c r="J725" s="269">
        <f ca="1">IFERROR(__xludf.DUMMYFUNCTION("IMPORTRANGE(""https://docs.google.com/spreadsheets/d/1XWAQStnk-4SwqDmLtmXYiTMKHgktTP8We1SCoS47DrQ/edit?usp=sharing"",""จัดที่ดิน!BO42"")"),0)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IFERROR(__xludf.DUMMYFUNCTION("IMPORTRANGE(""https://docs.google.com/spreadsheets/d/1QqKyyYR6Q21VydFLVH3TRQUabQu_ym0Zz7PgGX0-kHA/edit?usp=sharing"",""แผน!IN42"")"),0)</f>
        <v>0</v>
      </c>
      <c r="J726" s="269">
        <f ca="1">IFERROR(__xludf.DUMMYFUNCTION("IMPORTRANGE(""https://docs.google.com/spreadsheets/d/1XWAQStnk-4SwqDmLtmXYiTMKHgktTP8We1SCoS47DrQ/edit?usp=sharing"",""จัดที่ดิน!BR42"")"),0)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IFERROR(__xludf.DUMMYFUNCTION("IMPORTRANGE(""https://docs.google.com/spreadsheets/d/1XWAQStnk-4SwqDmLtmXYiTMKHgktTP8We1SCoS47DrQ/edit?usp=sharing"",""จัดที่ดิน!BS42"")"),0)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IFERROR(__xludf.DUMMYFUNCTION("IMPORTRANGE(""https://docs.google.com/spreadsheets/d/1QqKyyYR6Q21VydFLVH3TRQUabQu_ym0Zz7PgGX0-kHA/edit?usp=sharing"",""แผน!IO42"")"),0)</f>
        <v>0</v>
      </c>
      <c r="J728" s="269">
        <f ca="1">IFERROR(__xludf.DUMMYFUNCTION("IMPORTRANGE(""https://docs.google.com/spreadsheets/d/1XWAQStnk-4SwqDmLtmXYiTMKHgktTP8We1SCoS47DrQ/edit?usp=sharing"",""จัดที่ดิน!BT42"")"),0)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IFERROR(__xludf.DUMMYFUNCTION("IMPORTRANGE(""https://docs.google.com/spreadsheets/d/1QqKyyYR6Q21VydFLVH3TRQUabQu_ym0Zz7PgGX0-kHA/edit?usp=sharing"",""แผน!IP42"")"),0)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7">I800</f>
        <v>4000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266560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266560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266560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IFERROR(__xludf.DUMMYFUNCTION("IMPORTRANGE(""https://docs.google.com/spreadsheets/d/1QqKyyYR6Q21VydFLVH3TRQUabQu_ym0Zz7PgGX0-kHA/edit?usp=sharing"",""แผน!JN42"")"),4000)</f>
        <v>4000</v>
      </c>
      <c r="J800" s="184">
        <f ca="1">IFERROR(__xludf.DUMMYFUNCTION("IMPORTRANGE(""https://docs.google.com/spreadsheets/d/1MaWodYyGHDf7siQLGxnXhG4mBNTNIuy296niS2xXulU/edit?usp=sharing"",""RTK!H42"")"),0)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IFERROR(__xludf.DUMMYFUNCTION("IMPORTRANGE(""https://docs.google.com/spreadsheets/d/1MaWodYyGHDf7siQLGxnXhG4mBNTNIuy296niS2xXulU/edit?usp=sharing"",""RTK!I42"")"),0)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269">
        <f ca="1">IFERROR(__xludf.DUMMYFUNCTION("IMPORTRANGE(""https://docs.google.com/spreadsheets/d/19vJNZY_5yjcGF2XGBMNZRCAIB0Kwfpjp8YEOfu-bneM/edit?usp=sharing"",""งานกองทุน!F42"")"),0)</f>
        <v>0</v>
      </c>
      <c r="K821" s="496">
        <f t="shared" ref="K821:K828" ca="1" si="334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IFERROR(__xludf.DUMMYFUNCTION("IMPORTRANGE(""https://docs.google.com/spreadsheets/d/19vJNZY_5yjcGF2XGBMNZRCAIB0Kwfpjp8YEOfu-bneM/edit?usp=sharing"",""งานกองทุน!C42"")"),460)</f>
        <v>460</v>
      </c>
      <c r="J822" s="269">
        <f ca="1">IFERROR(__xludf.DUMMYFUNCTION("IMPORTRANGE(""https://docs.google.com/spreadsheets/d/19vJNZY_5yjcGF2XGBMNZRCAIB0Kwfpjp8YEOfu-bneM/edit?usp=sharing"",""งานกองทุน!E42"")"),0)</f>
        <v>0</v>
      </c>
      <c r="K822" s="496">
        <f t="shared" ca="1" si="334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69">
        <f ca="1">IFERROR(__xludf.DUMMYFUNCTION("IMPORTRANGE(""https://docs.google.com/spreadsheets/d/19vJNZY_5yjcGF2XGBMNZRCAIB0Kwfpjp8YEOfu-bneM/edit?usp=sharing"",""งานกองทุน!K42"")"),136800.56)</f>
        <v>136800.56</v>
      </c>
      <c r="K823" s="496">
        <f t="shared" ca="1" si="334"/>
        <v>0.417923163195563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IFERROR(__xludf.DUMMYFUNCTION("IMPORTRANGE(""https://docs.google.com/spreadsheets/d/19vJNZY_5yjcGF2XGBMNZRCAIB0Kwfpjp8YEOfu-bneM/edit?usp=sharing"",""งานกองทุน!H42"")"),1616)</f>
        <v>1616</v>
      </c>
      <c r="J824" s="269">
        <f ca="1">IFERROR(__xludf.DUMMYFUNCTION("IMPORTRANGE(""https://docs.google.com/spreadsheets/d/19vJNZY_5yjcGF2XGBMNZRCAIB0Kwfpjp8YEOfu-bneM/edit?usp=sharing"",""งานกองทุน!J42"")"),18)</f>
        <v>18</v>
      </c>
      <c r="K824" s="496">
        <f t="shared" ca="1" si="334"/>
        <v>1.113861386138614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IFERROR(__xludf.DUMMYFUNCTION("IMPORTRANGE(""https://docs.google.com/spreadsheets/d/19vJNZY_5yjcGF2XGBMNZRCAIB0Kwfpjp8YEOfu-bneM/edit?usp=sharing"",""งานกองทุน!N42"")"),0)</f>
        <v>0</v>
      </c>
      <c r="J825" s="269">
        <f ca="1">IFERROR(__xludf.DUMMYFUNCTION("IMPORTRANGE(""https://docs.google.com/spreadsheets/d/19vJNZY_5yjcGF2XGBMNZRCAIB0Kwfpjp8YEOfu-bneM/edit?usp=sharing"",""งานกองทุน!P42"")"),725.75)</f>
        <v>725.75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IFERROR(__xludf.DUMMYFUNCTION("IMPORTRANGE(""https://docs.google.com/spreadsheets/d/19vJNZY_5yjcGF2XGBMNZRCAIB0Kwfpjp8YEOfu-bneM/edit?usp=sharing"",""งานกองทุน!M42"")"),0)</f>
        <v>0</v>
      </c>
      <c r="J826" s="269">
        <f ca="1">IFERROR(__xludf.DUMMYFUNCTION("IMPORTRANGE(""https://docs.google.com/spreadsheets/d/19vJNZY_5yjcGF2XGBMNZRCAIB0Kwfpjp8YEOfu-bneM/edit?usp=sharing"",""งานกองทุน!O42"")"),1)</f>
        <v>1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IFERROR(__xludf.DUMMYFUNCTION("IMPORTRANGE(""https://docs.google.com/spreadsheets/d/19vJNZY_5yjcGF2XGBMNZRCAIB0Kwfpjp8YEOfu-bneM/edit?usp=sharing"",""งานกองทุน!S42"")"),8280000)</f>
        <v>8280000</v>
      </c>
      <c r="J827" s="269">
        <f ca="1">IFERROR(__xludf.DUMMYFUNCTION("IMPORTRANGE(""https://docs.google.com/spreadsheets/d/19vJNZY_5yjcGF2XGBMNZRCAIB0Kwfpjp8YEOfu-bneM/edit?usp=sharing"",""งานกองทุน!U42"")"),0)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IFERROR(__xludf.DUMMYFUNCTION("IMPORTRANGE(""https://docs.google.com/spreadsheets/d/19vJNZY_5yjcGF2XGBMNZRCAIB0Kwfpjp8YEOfu-bneM/edit?usp=sharing"",""งานกองทุน!R42"")"),331)</f>
        <v>331</v>
      </c>
      <c r="J828" s="499">
        <f ca="1">IFERROR(__xludf.DUMMYFUNCTION("IMPORTRANGE(""https://docs.google.com/spreadsheets/d/19vJNZY_5yjcGF2XGBMNZRCAIB0Kwfpjp8YEOfu-bneM/edit?usp=sharing"",""งานกองทุน!T42"")"),28)</f>
        <v>28</v>
      </c>
      <c r="K828" s="500">
        <f t="shared" ca="1" si="334"/>
        <v>8.4592145015105746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F9825-F319-4D32-B9FB-28072AA6336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347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6052352</v>
      </c>
      <c r="M8" s="22">
        <f t="shared" ca="1" si="0"/>
        <v>2104245</v>
      </c>
      <c r="N8" s="22">
        <f t="shared" ca="1" si="0"/>
        <v>878400.22</v>
      </c>
      <c r="O8" s="22">
        <f t="shared" ref="O8:O16" ca="1" si="1">IF(L8&gt;0,N8*100/L8,0)</f>
        <v>14.513369678432451</v>
      </c>
      <c r="P8" s="22">
        <f t="shared" ref="P8:P16" ca="1" si="2">IF(M8&gt;0,N8*100/M8,0)</f>
        <v>41.744198988235688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6052352</v>
      </c>
      <c r="M10" s="30">
        <f t="shared" ca="1" si="3"/>
        <v>2104245</v>
      </c>
      <c r="N10" s="30">
        <f t="shared" ca="1" si="3"/>
        <v>878400.22</v>
      </c>
      <c r="O10" s="30">
        <f t="shared" ca="1" si="1"/>
        <v>14.513369678432451</v>
      </c>
      <c r="P10" s="30">
        <f t="shared" ca="1" si="2"/>
        <v>41.744198988235688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5889352</v>
      </c>
      <c r="M11" s="496">
        <f t="shared" ca="1" si="4"/>
        <v>1941245</v>
      </c>
      <c r="N11" s="496">
        <f t="shared" ca="1" si="4"/>
        <v>818400.22</v>
      </c>
      <c r="O11" s="496">
        <f t="shared" ca="1" si="1"/>
        <v>13.896269402813756</v>
      </c>
      <c r="P11" s="496">
        <f t="shared" ca="1" si="2"/>
        <v>42.158523009717989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5889352</v>
      </c>
      <c r="M13" s="93">
        <f t="shared" ca="1" si="5"/>
        <v>1941245</v>
      </c>
      <c r="N13" s="93">
        <f t="shared" ca="1" si="5"/>
        <v>818400.22</v>
      </c>
      <c r="O13" s="93">
        <f t="shared" ca="1" si="1"/>
        <v>13.896269402813756</v>
      </c>
      <c r="P13" s="93">
        <f t="shared" ca="1" si="2"/>
        <v>42.158523009717989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163000</v>
      </c>
      <c r="M14" s="496">
        <f t="shared" ca="1" si="6"/>
        <v>163000</v>
      </c>
      <c r="N14" s="496">
        <f t="shared" ca="1" si="6"/>
        <v>60000</v>
      </c>
      <c r="O14" s="496">
        <f t="shared" ca="1" si="1"/>
        <v>36.809815950920246</v>
      </c>
      <c r="P14" s="496">
        <f t="shared" ca="1" si="2"/>
        <v>36.809815950920246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60000</v>
      </c>
      <c r="O16" s="52">
        <f t="shared" ca="1" si="1"/>
        <v>36.809815950920246</v>
      </c>
      <c r="P16" s="52">
        <f t="shared" ca="1" si="2"/>
        <v>36.809815950920246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2104245</v>
      </c>
      <c r="N18" s="22">
        <f t="shared" ca="1" si="8"/>
        <v>733528.22</v>
      </c>
      <c r="O18" s="22">
        <f t="shared" ref="O18:O26" ca="1" si="9">IF(L18&gt;0,N18*100/L18,0)</f>
        <v>18.609815761032266</v>
      </c>
      <c r="P18" s="22">
        <f t="shared" ref="P18:P26" ca="1" si="10">IF(M18&gt;0,N18*100/M18,0)</f>
        <v>34.859449351192474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2104245</v>
      </c>
      <c r="N20" s="30">
        <f t="shared" ca="1" si="11"/>
        <v>733528.22</v>
      </c>
      <c r="O20" s="30">
        <f t="shared" ca="1" si="9"/>
        <v>18.609815761032266</v>
      </c>
      <c r="P20" s="30">
        <f t="shared" ca="1" si="10"/>
        <v>34.859449351192474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3778620</v>
      </c>
      <c r="M21" s="496">
        <f t="shared" ca="1" si="12"/>
        <v>1941245</v>
      </c>
      <c r="N21" s="496">
        <f t="shared" ca="1" si="12"/>
        <v>673528.22</v>
      </c>
      <c r="O21" s="496">
        <f t="shared" ca="1" si="9"/>
        <v>17.824714313691242</v>
      </c>
      <c r="P21" s="496">
        <f t="shared" ca="1" si="10"/>
        <v>34.695683440266428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3778620</v>
      </c>
      <c r="M23" s="93">
        <f t="shared" ca="1" si="13"/>
        <v>1941245</v>
      </c>
      <c r="N23" s="93">
        <f t="shared" ca="1" si="13"/>
        <v>673528.22</v>
      </c>
      <c r="O23" s="93">
        <f t="shared" ca="1" si="9"/>
        <v>17.824714313691242</v>
      </c>
      <c r="P23" s="93">
        <f t="shared" ca="1" si="10"/>
        <v>34.695683440266428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163000</v>
      </c>
      <c r="M24" s="496">
        <f t="shared" ca="1" si="14"/>
        <v>163000</v>
      </c>
      <c r="N24" s="496">
        <f t="shared" ca="1" si="14"/>
        <v>60000</v>
      </c>
      <c r="O24" s="496">
        <f t="shared" ca="1" si="9"/>
        <v>36.809815950920246</v>
      </c>
      <c r="P24" s="496">
        <f t="shared" ca="1" si="10"/>
        <v>36.809815950920246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60000</v>
      </c>
      <c r="O26" s="52">
        <f t="shared" ca="1" si="9"/>
        <v>36.809815950920246</v>
      </c>
      <c r="P26" s="52">
        <f t="shared" ca="1" si="10"/>
        <v>36.809815950920246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2110732</v>
      </c>
      <c r="M28" s="22">
        <f t="shared" si="16"/>
        <v>0</v>
      </c>
      <c r="N28" s="22">
        <f t="shared" si="16"/>
        <v>144872</v>
      </c>
      <c r="O28" s="22">
        <f t="shared" ref="O28:O37" ca="1" si="17">IF(L28&gt;0,N28*100/L28,0)</f>
        <v>6.8635904510852157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2110732</v>
      </c>
      <c r="M30" s="30">
        <f t="shared" si="19"/>
        <v>0</v>
      </c>
      <c r="N30" s="30">
        <f t="shared" si="19"/>
        <v>144872</v>
      </c>
      <c r="O30" s="30">
        <f t="shared" ca="1" si="17"/>
        <v>6.8635904510852157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2110732</v>
      </c>
      <c r="M31" s="496">
        <f t="shared" si="20"/>
        <v>0</v>
      </c>
      <c r="N31" s="496">
        <f t="shared" si="20"/>
        <v>144872</v>
      </c>
      <c r="O31" s="496">
        <f t="shared" ca="1" si="17"/>
        <v>6.8635904510852157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2110732</v>
      </c>
      <c r="M33" s="93">
        <f t="shared" si="21"/>
        <v>0</v>
      </c>
      <c r="N33" s="93">
        <f t="shared" si="21"/>
        <v>144872</v>
      </c>
      <c r="O33" s="93">
        <f t="shared" ca="1" si="17"/>
        <v>6.8635904510852157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3941620</v>
      </c>
      <c r="M37" s="59">
        <f t="shared" ca="1" si="24"/>
        <v>2104245</v>
      </c>
      <c r="N37" s="59">
        <f t="shared" ca="1" si="24"/>
        <v>733528.22</v>
      </c>
      <c r="O37" s="59">
        <f t="shared" ca="1" si="17"/>
        <v>18.609815761032266</v>
      </c>
      <c r="P37" s="59">
        <f t="shared" ca="1" si="18"/>
        <v>34.859449351192474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330650</v>
      </c>
      <c r="N41" s="85">
        <f t="shared" ca="1" si="25"/>
        <v>101300</v>
      </c>
      <c r="O41" s="85">
        <f t="shared" ref="O41:O49" ca="1" si="26">IF(L41&gt;0,N41*100/L41,0)</f>
        <v>15.412704450361353</v>
      </c>
      <c r="P41" s="85">
        <f t="shared" ref="P41:P49" ca="1" si="27">IF(M41&gt;0,N41*100/M41,0)</f>
        <v>30.636624829880539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330650</v>
      </c>
      <c r="N43" s="92">
        <f t="shared" ca="1" si="28"/>
        <v>101300</v>
      </c>
      <c r="O43" s="92">
        <f t="shared" ca="1" si="26"/>
        <v>15.412704450361353</v>
      </c>
      <c r="P43" s="92">
        <f t="shared" ca="1" si="27"/>
        <v>30.636624829880539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657250</v>
      </c>
      <c r="M44" s="496">
        <f t="shared" ca="1" si="29"/>
        <v>330650</v>
      </c>
      <c r="N44" s="496">
        <f t="shared" ca="1" si="29"/>
        <v>101300</v>
      </c>
      <c r="O44" s="496">
        <f t="shared" ca="1" si="26"/>
        <v>15.412704450361353</v>
      </c>
      <c r="P44" s="496">
        <f t="shared" ca="1" si="27"/>
        <v>30.636624829880539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IFERROR(__xludf.DUMMYFUNCTION("IMPORTRANGE(""https://docs.google.com/spreadsheets/d/1MeEWN-I1oV_STSDYn1IFDPWt_1FKiwhDph83XaGc0o0/edit?usp=sharing"",""งบพรบ!R43"")"),330650)</f>
        <v>330650</v>
      </c>
      <c r="N46" s="93">
        <f ca="1">IFERROR(__xludf.DUMMYFUNCTION("IMPORTRANGE(""https://docs.google.com/spreadsheets/d/1MeEWN-I1oV_STSDYn1IFDPWt_1FKiwhDph83XaGc0o0/edit?usp=sharing"",""งบพรบ!T43"")"),101300)</f>
        <v>101300</v>
      </c>
      <c r="O46" s="93">
        <f t="shared" ca="1" si="26"/>
        <v>15.412704450361353</v>
      </c>
      <c r="P46" s="93">
        <f t="shared" ca="1" si="27"/>
        <v>30.636624829880539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421320</v>
      </c>
      <c r="N53" s="116">
        <f t="shared" ca="1" si="31"/>
        <v>269712.21999999997</v>
      </c>
      <c r="O53" s="116">
        <f t="shared" ref="O53:O61" ca="1" si="32">IF(L53&gt;0,N53*100/L53,0)</f>
        <v>36.977271730189194</v>
      </c>
      <c r="P53" s="116">
        <f t="shared" ref="P53:P61" ca="1" si="33">IF(M53&gt;0,N53*100/M53,0)</f>
        <v>64.016002088673687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421320</v>
      </c>
      <c r="N55" s="123">
        <f t="shared" ca="1" si="34"/>
        <v>269712.21999999997</v>
      </c>
      <c r="O55" s="123">
        <f t="shared" ca="1" si="32"/>
        <v>36.977271730189194</v>
      </c>
      <c r="P55" s="123">
        <f t="shared" ca="1" si="33"/>
        <v>64.016002088673687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729400</v>
      </c>
      <c r="M56" s="496">
        <f t="shared" ca="1" si="35"/>
        <v>421320</v>
      </c>
      <c r="N56" s="496">
        <f t="shared" ca="1" si="35"/>
        <v>269712.21999999997</v>
      </c>
      <c r="O56" s="496">
        <f t="shared" ca="1" si="32"/>
        <v>36.977271730189194</v>
      </c>
      <c r="P56" s="496">
        <f t="shared" ca="1" si="33"/>
        <v>64.016002088673687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IFERROR(__xludf.DUMMYFUNCTION("IMPORTRANGE(""https://docs.google.com/spreadsheets/d/1MeEWN-I1oV_STSDYn1IFDPWt_1FKiwhDph83XaGc0o0/edit?usp=sharing"",""งบพรบ!AB43"")"),421320)</f>
        <v>421320</v>
      </c>
      <c r="N58" s="93">
        <f ca="1">IFERROR(__xludf.DUMMYFUNCTION("IMPORTRANGE(""https://docs.google.com/spreadsheets/d/1MeEWN-I1oV_STSDYn1IFDPWt_1FKiwhDph83XaGc0o0/edit?usp=sharing"",""งบพรบ!AD43"")"),269712.22)</f>
        <v>269712.21999999997</v>
      </c>
      <c r="O58" s="93">
        <f t="shared" ca="1" si="32"/>
        <v>36.977271730189194</v>
      </c>
      <c r="P58" s="93">
        <f t="shared" ca="1" si="33"/>
        <v>64.016002088673687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509040</v>
      </c>
      <c r="M88" s="155">
        <f t="shared" ca="1" si="49"/>
        <v>235340</v>
      </c>
      <c r="N88" s="155">
        <f t="shared" ca="1" si="49"/>
        <v>132919</v>
      </c>
      <c r="O88" s="155">
        <f t="shared" ref="O88:O96" ca="1" si="50">IF(L88&gt;0,N88*100/L88,0)</f>
        <v>26.111700455759863</v>
      </c>
      <c r="P88" s="155">
        <f t="shared" ref="P88:P96" ca="1" si="51">IF(M88&gt;0,N88*100/M88,0)</f>
        <v>56.479561485510324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509040</v>
      </c>
      <c r="M90" s="93">
        <f t="shared" ca="1" si="52"/>
        <v>235340</v>
      </c>
      <c r="N90" s="93">
        <f t="shared" ca="1" si="52"/>
        <v>132919</v>
      </c>
      <c r="O90" s="93">
        <f t="shared" ca="1" si="50"/>
        <v>26.111700455759863</v>
      </c>
      <c r="P90" s="93">
        <f t="shared" ca="1" si="51"/>
        <v>56.479561485510324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509040</v>
      </c>
      <c r="M91" s="496">
        <f t="shared" ca="1" si="53"/>
        <v>235340</v>
      </c>
      <c r="N91" s="496">
        <f t="shared" ca="1" si="53"/>
        <v>132919</v>
      </c>
      <c r="O91" s="496">
        <f t="shared" ca="1" si="50"/>
        <v>26.111700455759863</v>
      </c>
      <c r="P91" s="496">
        <f t="shared" ca="1" si="51"/>
        <v>56.479561485510324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IFERROR(__xludf.DUMMYFUNCTION("IMPORTRANGE(""https://docs.google.com/spreadsheets/d/1MeEWN-I1oV_STSDYn1IFDPWt_1FKiwhDph83XaGc0o0/edit?usp=sharing"",""งบพรบ!AV43"")"),235340)</f>
        <v>235340</v>
      </c>
      <c r="N93" s="93">
        <f ca="1">IFERROR(__xludf.DUMMYFUNCTION("IMPORTRANGE(""https://docs.google.com/spreadsheets/d/1MeEWN-I1oV_STSDYn1IFDPWt_1FKiwhDph83XaGc0o0/edit?usp=sharing"",""งบพรบ!AX43"")"),132919)</f>
        <v>132919</v>
      </c>
      <c r="O93" s="93">
        <f t="shared" ca="1" si="50"/>
        <v>26.111700455759863</v>
      </c>
      <c r="P93" s="93">
        <f t="shared" ca="1" si="51"/>
        <v>56.479561485510324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IFERROR(__xludf.DUMMYFUNCTION("IMPORTRANGE(""https://docs.google.com/spreadsheets/d/1QqKyyYR6Q21VydFLVH3TRQUabQu_ym0Zz7PgGX0-kHA/edit?usp=sharing"",""แผน!K43"")"),30)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IFERROR(__xludf.DUMMYFUNCTION("IMPORTRANGE(""https://docs.google.com/spreadsheets/d/1QqKyyYR6Q21VydFLVH3TRQUabQu_ym0Zz7PgGX0-kHA/edit?usp=sharing"",""แผน!L43"")"),10)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IFERROR(__xludf.DUMMYFUNCTION("IMPORTRANGE(""https://docs.google.com/spreadsheets/d/1QqKyyYR6Q21VydFLVH3TRQUabQu_ym0Zz7PgGX0-kHA/edit?usp=sharing"",""แผน!M43"")"),1)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IFERROR(__xludf.DUMMYFUNCTION("IMPORTRANGE(""https://docs.google.com/spreadsheets/d/1QqKyyYR6Q21VydFLVH3TRQUabQu_ym0Zz7PgGX0-kHA/edit?usp=sharing"",""แผน!N43"")"),30)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IFERROR(__xludf.DUMMYFUNCTION("IMPORTRANGE(""https://docs.google.com/spreadsheets/d/1QqKyyYR6Q21VydFLVH3TRQUabQu_ym0Zz7PgGX0-kHA/edit?usp=sharing"",""แผน!O43"")"),10)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IFERROR(__xludf.DUMMYFUNCTION("IMPORTRANGE(""https://docs.google.com/spreadsheets/d/1QqKyyYR6Q21VydFLVH3TRQUabQu_ym0Zz7PgGX0-kHA/edit?usp=sharing"",""แผน!O43"")"),10)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IFERROR(__xludf.DUMMYFUNCTION("IMPORTRANGE(""https://docs.google.com/spreadsheets/d/1QqKyyYR6Q21VydFLVH3TRQUabQu_ym0Zz7PgGX0-kHA/edit?usp=sharing"",""แผน!P43"")"),1)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IFERROR(__xludf.DUMMYFUNCTION("IMPORTRANGE(""https://docs.google.com/spreadsheets/d/1QqKyyYR6Q21VydFLVH3TRQUabQu_ym0Zz7PgGX0-kHA/edit?usp=sharing"",""แผน!P43"")"),1)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IFERROR(__xludf.DUMMYFUNCTION("IMPORTRANGE(""https://docs.google.com/spreadsheets/d/1QqKyyYR6Q21VydFLVH3TRQUabQu_ym0Zz7PgGX0-kHA/edit?usp=sharing"",""แผน!Q43"")"),0)</f>
        <v>0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IFERROR(__xludf.DUMMYFUNCTION("IMPORTRANGE(""https://docs.google.com/spreadsheets/d/1QqKyyYR6Q21VydFLVH3TRQUabQu_ym0Zz7PgGX0-kHA/edit?usp=sharing"",""แผน!Q43"")"),0)</f>
        <v>0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48655</v>
      </c>
      <c r="M135" s="496">
        <f t="shared" ca="1" si="73"/>
        <v>30600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IFERROR(__xludf.DUMMYFUNCTION("IMPORTRANGE(""https://docs.google.com/spreadsheets/d/1MeEWN-I1oV_STSDYn1IFDPWt_1FKiwhDph83XaGc0o0/edit?usp=sharing"",""งบพรบ!BP43"")"),30600)</f>
        <v>30600</v>
      </c>
      <c r="N137" s="93">
        <f ca="1">IFERROR(__xludf.DUMMYFUNCTION("IMPORTRANGE(""https://docs.google.com/spreadsheets/d/1MeEWN-I1oV_STSDYn1IFDPWt_1FKiwhDph83XaGc0o0/edit?usp=sharing"",""งบพรบ!BR43"")"),0)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103000</v>
      </c>
      <c r="M138" s="496">
        <f t="shared" ca="1" si="74"/>
        <v>103000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IFERROR(__xludf.DUMMYFUNCTION("IMPORTRANGE(""https://docs.google.com/spreadsheets/d/1MeEWN-I1oV_STSDYn1IFDPWt_1FKiwhDph83XaGc0o0/edit?usp=sharing"",""งบพรบ!BQ43"")"),103000)</f>
        <v>103000</v>
      </c>
      <c r="N140" s="93">
        <f ca="1">IFERROR(__xludf.DUMMYFUNCTION("IMPORTRANGE(""https://docs.google.com/spreadsheets/d/1MeEWN-I1oV_STSDYn1IFDPWt_1FKiwhDph83XaGc0o0/edit?usp=sharing"",""งบพรบ!BS43"")"),0)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10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IFERROR(__xludf.DUMMYFUNCTION("IMPORTRANGE(""https://docs.google.com/spreadsheets/d/1QqKyyYR6Q21VydFLVH3TRQUabQu_ym0Zz7PgGX0-kHA/edit?usp=sharing"",""แผน!U43"")"),5)</f>
        <v>5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IFERROR(__xludf.DUMMYFUNCTION("IMPORTRANGE(""https://docs.google.com/spreadsheets/d/1QqKyyYR6Q21VydFLVH3TRQUabQu_ym0Zz7PgGX0-kHA/edit?usp=sharing"",""แผน!V43"")"),10)</f>
        <v>10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IFERROR(__xludf.DUMMYFUNCTION("IMPORTRANGE(""https://docs.google.com/spreadsheets/d/1QqKyyYR6Q21VydFLVH3TRQUabQu_ym0Zz7PgGX0-kHA/edit?usp=sharing"",""แผน!W43"")"),1)</f>
        <v>1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IFERROR(__xludf.DUMMYFUNCTION("IMPORTRANGE(""https://docs.google.com/spreadsheets/d/1MeEWN-I1oV_STSDYn1IFDPWt_1FKiwhDph83XaGc0o0/edit?usp=sharing"",""งบพรบ!BZ43"")"),0)</f>
        <v>0</v>
      </c>
      <c r="N154" s="93">
        <f ca="1">IFERROR(__xludf.DUMMYFUNCTION("IMPORTRANGE(""https://docs.google.com/spreadsheets/d/1MeEWN-I1oV_STSDYn1IFDPWt_1FKiwhDph83XaGc0o0/edit?usp=sharing"",""งบพรบ!CB43"")"),0)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IFERROR(__xludf.DUMMYFUNCTION("IMPORTRANGE(""https://docs.google.com/spreadsheets/d/1QqKyyYR6Q21VydFLVH3TRQUabQu_ym0Zz7PgGX0-kHA/edit?usp=sharing"",""แผน!X43"")"),0)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IFERROR(__xludf.DUMMYFUNCTION("IMPORTRANGE(""https://docs.google.com/spreadsheets/d/1MeEWN-I1oV_STSDYn1IFDPWt_1FKiwhDph83XaGc0o0/edit?usp=sharing"",""งบพรบ!CJ43"")"),22055)</f>
        <v>22055</v>
      </c>
      <c r="N170" s="93">
        <f ca="1">IFERROR(__xludf.DUMMYFUNCTION("IMPORTRANGE(""https://docs.google.com/spreadsheets/d/1MeEWN-I1oV_STSDYn1IFDPWt_1FKiwhDph83XaGc0o0/edit?usp=sharing"",""งบพรบ!CL43"")"),0)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IFERROR(__xludf.DUMMYFUNCTION("IMPORTRANGE(""https://docs.google.com/spreadsheets/d/1QqKyyYR6Q21VydFLVH3TRQUabQu_ym0Zz7PgGX0-kHA/edit?usp=sharing"",""แผน!Y43"")"),11)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116200</v>
      </c>
      <c r="M181" s="155">
        <f t="shared" ca="1" si="92"/>
        <v>49000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116200</v>
      </c>
      <c r="M183" s="93">
        <f t="shared" ca="1" si="95"/>
        <v>49000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116200</v>
      </c>
      <c r="M184" s="496">
        <f t="shared" ca="1" si="96"/>
        <v>49000</v>
      </c>
      <c r="N184" s="496">
        <f t="shared" ca="1" si="96"/>
        <v>0</v>
      </c>
      <c r="O184" s="496">
        <f t="shared" ca="1" si="93"/>
        <v>0</v>
      </c>
      <c r="P184" s="496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IFERROR(__xludf.DUMMYFUNCTION("IMPORTRANGE(""https://docs.google.com/spreadsheets/d/1MeEWN-I1oV_STSDYn1IFDPWt_1FKiwhDph83XaGc0o0/edit?usp=sharing"",""งบพรบ!CT43"")"),49000)</f>
        <v>49000</v>
      </c>
      <c r="N186" s="93">
        <f ca="1">IFERROR(__xludf.DUMMYFUNCTION("IMPORTRANGE(""https://docs.google.com/spreadsheets/d/1MeEWN-I1oV_STSDYn1IFDPWt_1FKiwhDph83XaGc0o0/edit?usp=sharing"",""งบพรบ!CV43"")"),0)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IFERROR(__xludf.DUMMYFUNCTION("IMPORTRANGE(""https://docs.google.com/spreadsheets/d/1QqKyyYR6Q21VydFLVH3TRQUabQu_ym0Zz7PgGX0-kHA/edit?usp=sharing"",""แผน!AC43"")"),4)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31000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IFERROR(__xludf.DUMMYFUNCTION("IMPORTRANGE(""https://docs.google.com/spreadsheets/d/1QqKyyYR6Q21VydFLVH3TRQUabQu_ym0Zz7PgGX0-kHA/edit?usp=sharing"",""แผน!AE43"")"),2000)</f>
        <v>2000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IFERROR(__xludf.DUMMYFUNCTION("IMPORTRANGE(""https://docs.google.com/spreadsheets/d/1QqKyyYR6Q21VydFLVH3TRQUabQu_ym0Zz7PgGX0-kHA/edit?usp=sharing"",""แผน!AF43"")"),16000)</f>
        <v>16000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IFERROR(__xludf.DUMMYFUNCTION("IMPORTRANGE(""https://docs.google.com/spreadsheets/d/1QqKyyYR6Q21VydFLVH3TRQUabQu_ym0Zz7PgGX0-kHA/edit?usp=sharing"",""แผน!AG43"")"),8000)</f>
        <v>8000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IFERROR(__xludf.DUMMYFUNCTION("IMPORTRANGE(""https://docs.google.com/spreadsheets/d/1QqKyyYR6Q21VydFLVH3TRQUabQu_ym0Zz7PgGX0-kHA/edit?usp=sharing"",""แผน!AH43"")"),5000)</f>
        <v>5000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IFERROR(__xludf.DUMMYFUNCTION("IMPORTRANGE(""https://docs.google.com/spreadsheets/d/1QqKyyYR6Q21VydFLVH3TRQUabQu_ym0Zz7PgGX0-kHA/edit?usp=sharing"",""แผน!AI43"")"),2)</f>
        <v>2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1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2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IFERROR(__xludf.DUMMYFUNCTION("IMPORTRANGE(""https://docs.google.com/spreadsheets/d/1QqKyyYR6Q21VydFLVH3TRQUabQu_ym0Zz7PgGX0-kHA/edit?usp=sharing"",""แผน!AK43"")"),2000)</f>
        <v>2000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IFERROR(__xludf.DUMMYFUNCTION("IMPORTRANGE(""https://docs.google.com/spreadsheets/d/1QqKyyYR6Q21VydFLVH3TRQUabQu_ym0Zz7PgGX0-kHA/edit?usp=sharing"",""แผน!AL43"")"),10000)</f>
        <v>10000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IFERROR(__xludf.DUMMYFUNCTION("IMPORTRANGE(""https://docs.google.com/spreadsheets/d/1QqKyyYR6Q21VydFLVH3TRQUabQu_ym0Zz7PgGX0-kHA/edit?usp=sharing"",""แผน!AM43"")"),16000)</f>
        <v>16000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IFERROR(__xludf.DUMMYFUNCTION("IMPORTRANGE(""https://docs.google.com/spreadsheets/d/1QqKyyYR6Q21VydFLVH3TRQUabQu_ym0Zz7PgGX0-kHA/edit?usp=sharing"",""แผน!AN43"")"),2)</f>
        <v>2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IFERROR(__xludf.DUMMYFUNCTION("IMPORTRANGE(""https://docs.google.com/spreadsheets/d/1QqKyyYR6Q21VydFLVH3TRQUabQu_ym0Zz7PgGX0-kHA/edit?usp=sharing"",""แผน!AN43"")"),2)</f>
        <v>2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128000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51200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IFERROR(__xludf.DUMMYFUNCTION("IMPORTRANGE(""https://docs.google.com/spreadsheets/d/1QqKyyYR6Q21VydFLVH3TRQUabQu_ym0Zz7PgGX0-kHA/edit?usp=sharing"",""แผน!AP43"")"),8000)</f>
        <v>8000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IFERROR(__xludf.DUMMYFUNCTION("IMPORTRANGE(""https://docs.google.com/spreadsheets/d/1QqKyyYR6Q21VydFLVH3TRQUabQu_ym0Zz7PgGX0-kHA/edit?usp=sharing"",""แผน!AQ43"")"),33200)</f>
        <v>33200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IFERROR(__xludf.DUMMYFUNCTION("IMPORTRANGE(""https://docs.google.com/spreadsheets/d/1QqKyyYR6Q21VydFLVH3TRQUabQu_ym0Zz7PgGX0-kHA/edit?usp=sharing"",""แผน!AR43"")"),10000)</f>
        <v>10000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IFERROR(__xludf.DUMMYFUNCTION("IMPORTRANGE(""https://docs.google.com/spreadsheets/d/1QqKyyYR6Q21VydFLVH3TRQUabQu_ym0Zz7PgGX0-kHA/edit?usp=sharing"",""แผน!AT43"")"),128000)</f>
        <v>128000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IFERROR(__xludf.DUMMYFUNCTION("IMPORTRANGE(""https://docs.google.com/spreadsheets/d/1QqKyyYR6Q21VydFLVH3TRQUabQu_ym0Zz7PgGX0-kHA/edit?usp=sharing"",""แผน!AT43"")"),128000)</f>
        <v>128000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IFERROR(__xludf.DUMMYFUNCTION("IMPORTRANGE(""https://docs.google.com/spreadsheets/d/1QqKyyYR6Q21VydFLVH3TRQUabQu_ym0Zz7PgGX0-kHA/edit?usp=sharing"",""แผน!AS43"")"),10)</f>
        <v>10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IFERROR(__xludf.DUMMYFUNCTION("IMPORTRANGE(""https://docs.google.com/spreadsheets/d/1QqKyyYR6Q21VydFLVH3TRQUabQu_ym0Zz7PgGX0-kHA/edit?usp=sharing"",""แผน!AV43"")"),0)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IFERROR(__xludf.DUMMYFUNCTION("IMPORTRANGE(""https://docs.google.com/spreadsheets/d/1QqKyyYR6Q21VydFLVH3TRQUabQu_ym0Zz7PgGX0-kHA/edit?usp=sharing"",""แผน!AW43"")"),0)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IFERROR(__xludf.DUMMYFUNCTION("IMPORTRANGE(""https://docs.google.com/spreadsheets/d/1QqKyyYR6Q21VydFLVH3TRQUabQu_ym0Zz7PgGX0-kHA/edit?usp=sharing"",""แผน!AX43"")"),0)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IFERROR(__xludf.DUMMYFUNCTION("IMPORTRANGE(""https://docs.google.com/spreadsheets/d/1QqKyyYR6Q21VydFLVH3TRQUabQu_ym0Zz7PgGX0-kHA/edit?usp=sharing"",""แผน!AY43"")"),0)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IFERROR(__xludf.DUMMYFUNCTION("IMPORTRANGE(""https://docs.google.com/spreadsheets/d/1QqKyyYR6Q21VydFLVH3TRQUabQu_ym0Zz7PgGX0-kHA/edit?usp=sharing"",""แผน!BE43"")"),0)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IFERROR(__xludf.DUMMYFUNCTION("IMPORTRANGE(""https://docs.google.com/spreadsheets/d/1QqKyyYR6Q21VydFLVH3TRQUabQu_ym0Zz7PgGX0-kHA/edit?usp=sharing"",""แผน!AZ43"")"),0)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IFERROR(__xludf.DUMMYFUNCTION("IMPORTRANGE(""https://docs.google.com/spreadsheets/d/1QqKyyYR6Q21VydFLVH3TRQUabQu_ym0Zz7PgGX0-kHA/edit?usp=sharing"",""แผน!BA43"")"),0)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IFERROR(__xludf.DUMMYFUNCTION("IMPORTRANGE(""https://docs.google.com/spreadsheets/d/1QqKyyYR6Q21VydFLVH3TRQUabQu_ym0Zz7PgGX0-kHA/edit?usp=sharing"",""แผน!BB43"")"),0)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IFERROR(__xludf.DUMMYFUNCTION("IMPORTRANGE(""https://docs.google.com/spreadsheets/d/1QqKyyYR6Q21VydFLVH3TRQUabQu_ym0Zz7PgGX0-kHA/edit?usp=sharing"",""แผน!BC43"")"),0)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IFERROR(__xludf.DUMMYFUNCTION("IMPORTRANGE(""https://docs.google.com/spreadsheets/d/1QqKyyYR6Q21VydFLVH3TRQUabQu_ym0Zz7PgGX0-kHA/edit?usp=sharing"",""แผน!BF43"")"),0)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22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17966</v>
      </c>
      <c r="O261" s="155">
        <f t="shared" ref="O261:O269" ca="1" si="117">IF(L261&gt;0,N261*100/L261,0)</f>
        <v>66.788104089219331</v>
      </c>
      <c r="P261" s="155">
        <f t="shared" ref="P261:P269" ca="1" si="118">IF(M261&gt;0,N261*100/M261,0)</f>
        <v>75.171548117154813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17966</v>
      </c>
      <c r="O263" s="93">
        <f t="shared" ca="1" si="117"/>
        <v>66.788104089219331</v>
      </c>
      <c r="P263" s="93">
        <f t="shared" ca="1" si="118"/>
        <v>75.171548117154813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23900</v>
      </c>
      <c r="N264" s="496">
        <f t="shared" ca="1" si="120"/>
        <v>17966</v>
      </c>
      <c r="O264" s="496">
        <f t="shared" ca="1" si="117"/>
        <v>66.788104089219331</v>
      </c>
      <c r="P264" s="496">
        <f t="shared" ca="1" si="118"/>
        <v>75.171548117154813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IFERROR(__xludf.DUMMYFUNCTION("IMPORTRANGE(""https://docs.google.com/spreadsheets/d/1MeEWN-I1oV_STSDYn1IFDPWt_1FKiwhDph83XaGc0o0/edit?usp=sharing"",""งบพรบ!DD43"")"),23900)</f>
        <v>23900</v>
      </c>
      <c r="N266" s="93">
        <f ca="1">IFERROR(__xludf.DUMMYFUNCTION("IMPORTRANGE(""https://docs.google.com/spreadsheets/d/1MeEWN-I1oV_STSDYn1IFDPWt_1FKiwhDph83XaGc0o0/edit?usp=sharing"",""งบพรบ!DF43"")"),17966)</f>
        <v>17966</v>
      </c>
      <c r="O266" s="93">
        <f t="shared" ca="1" si="117"/>
        <v>66.788104089219331</v>
      </c>
      <c r="P266" s="93">
        <f t="shared" ca="1" si="118"/>
        <v>75.171548117154813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IFERROR(__xludf.DUMMYFUNCTION("IMPORTRANGE(""https://docs.google.com/spreadsheets/d/1QqKyyYR6Q21VydFLVH3TRQUabQu_ym0Zz7PgGX0-kHA/edit?usp=sharing"",""แผน!EA43"")"),22)</f>
        <v>22</v>
      </c>
      <c r="J271" s="214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20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4">I287</f>
        <v>200</v>
      </c>
      <c r="J276" s="854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75640</v>
      </c>
      <c r="M277" s="155">
        <f t="shared" ca="1" si="125"/>
        <v>31640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75640</v>
      </c>
      <c r="M279" s="93">
        <f t="shared" ca="1" si="128"/>
        <v>31640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75640</v>
      </c>
      <c r="M280" s="496">
        <f t="shared" ca="1" si="129"/>
        <v>31640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IFERROR(__xludf.DUMMYFUNCTION("IMPORTRANGE(""https://docs.google.com/spreadsheets/d/1MeEWN-I1oV_STSDYn1IFDPWt_1FKiwhDph83XaGc0o0/edit?usp=sharing"",""งบพรบ!DN43"")"),31640)</f>
        <v>31640</v>
      </c>
      <c r="N282" s="93">
        <f ca="1">IFERROR(__xludf.DUMMYFUNCTION("IMPORTRANGE(""https://docs.google.com/spreadsheets/d/1MeEWN-I1oV_STSDYn1IFDPWt_1FKiwhDph83XaGc0o0/edit?usp=sharing"",""งบพรบ!DP43"")"),0)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IFERROR(__xludf.DUMMYFUNCTION("IMPORTRANGE(""https://docs.google.com/spreadsheets/d/1QqKyyYR6Q21VydFLVH3TRQUabQu_ym0Zz7PgGX0-kHA/edit?usp=sharing"",""แผน!EC43"")"),200)</f>
        <v>200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IFERROR(__xludf.DUMMYFUNCTION("IMPORTRANGE(""https://docs.google.com/spreadsheets/d/1QqKyyYR6Q21VydFLVH3TRQUabQu_ym0Zz7PgGX0-kHA/edit?usp=sharing"",""แผน!EB43"")"),20)</f>
        <v>20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IFERROR(__xludf.DUMMYFUNCTION("IMPORTRANGE(""https://docs.google.com/spreadsheets/d/1QqKyyYR6Q21VydFLVH3TRQUabQu_ym0Zz7PgGX0-kHA/edit?usp=sharing"",""แผน!EB43"")"),20)</f>
        <v>20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0</v>
      </c>
      <c r="M301" s="496">
        <f t="shared" ca="1" si="139"/>
        <v>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IFERROR(__xludf.DUMMYFUNCTION("IMPORTRANGE(""https://docs.google.com/spreadsheets/d/1QqKyyYR6Q21VydFLVH3TRQUabQu_ym0Zz7PgGX0-kHA/edit?usp=sharing"",""แผน!ED43"")"),0)</f>
        <v>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IFERROR(__xludf.DUMMYFUNCTION("IMPORTRANGE(""https://docs.google.com/spreadsheets/d/1QqKyyYR6Q21VydFLVH3TRQUabQu_ym0Zz7PgGX0-kHA/edit?usp=sharing"",""แผน!ED43"")"),0)</f>
        <v>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IFERROR(__xludf.DUMMYFUNCTION("IMPORTRANGE(""https://docs.google.com/spreadsheets/d/1QqKyyYR6Q21VydFLVH3TRQUabQu_ym0Zz7PgGX0-kHA/edit?usp=sharing"",""แผน!ED43"")"),0)</f>
        <v>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IFERROR(__xludf.DUMMYFUNCTION("IMPORTRANGE(""https://docs.google.com/spreadsheets/d/1QqKyyYR6Q21VydFLVH3TRQUabQu_ym0Zz7PgGX0-kHA/edit?usp=sharing"",""แผน!EE43"")"),0)</f>
        <v>0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IFERROR(__xludf.DUMMYFUNCTION("IMPORTRANGE(""https://docs.google.com/spreadsheets/d/1QqKyyYR6Q21VydFLVH3TRQUabQu_ym0Zz7PgGX0-kHA/edit?usp=sharing"",""แผน!EF43"")"),0)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IFERROR(__xludf.DUMMYFUNCTION("IMPORTRANGE(""https://docs.google.com/spreadsheets/d/1QqKyyYR6Q21VydFLVH3TRQUabQu_ym0Zz7PgGX0-kHA/edit?usp=sharing"",""แผน!EG43"")"),3800)</f>
        <v>3800</v>
      </c>
      <c r="J327" s="443">
        <f ca="1">J338+J341+J342+J343</f>
        <v>938</v>
      </c>
      <c r="K327" s="444">
        <f ca="1">IF(I327&gt;0,J327*100/I327,0)</f>
        <v>24.684210526315791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177000</v>
      </c>
      <c r="M328" s="155">
        <f t="shared" ca="1" si="149"/>
        <v>88500</v>
      </c>
      <c r="N328" s="155">
        <f t="shared" ca="1" si="149"/>
        <v>24480</v>
      </c>
      <c r="O328" s="155">
        <f t="shared" ref="O328:O336" ca="1" si="150">IF(L328&gt;0,N328*100/L328,0)</f>
        <v>13.830508474576272</v>
      </c>
      <c r="P328" s="155">
        <f t="shared" ref="P328:P336" ca="1" si="151">IF(M328&gt;0,N328*100/M328,0)</f>
        <v>27.661016949152543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177000</v>
      </c>
      <c r="M330" s="93">
        <f t="shared" ca="1" si="152"/>
        <v>88500</v>
      </c>
      <c r="N330" s="93">
        <f t="shared" ca="1" si="152"/>
        <v>24480</v>
      </c>
      <c r="O330" s="93">
        <f t="shared" ca="1" si="150"/>
        <v>13.830508474576272</v>
      </c>
      <c r="P330" s="93">
        <f t="shared" ca="1" si="151"/>
        <v>27.661016949152543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177000</v>
      </c>
      <c r="M331" s="496">
        <f t="shared" ca="1" si="153"/>
        <v>88500</v>
      </c>
      <c r="N331" s="496">
        <f t="shared" ca="1" si="153"/>
        <v>24480</v>
      </c>
      <c r="O331" s="496">
        <f t="shared" ca="1" si="150"/>
        <v>13.830508474576272</v>
      </c>
      <c r="P331" s="496">
        <f t="shared" ca="1" si="151"/>
        <v>27.661016949152543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IFERROR(__xludf.DUMMYFUNCTION("IMPORTRANGE(""https://docs.google.com/spreadsheets/d/1MeEWN-I1oV_STSDYn1IFDPWt_1FKiwhDph83XaGc0o0/edit?usp=sharing"",""งบพรบ!ER43"")"),88500)</f>
        <v>88500</v>
      </c>
      <c r="N333" s="93">
        <f ca="1">IFERROR(__xludf.DUMMYFUNCTION("IMPORTRANGE(""https://docs.google.com/spreadsheets/d/1MeEWN-I1oV_STSDYn1IFDPWt_1FKiwhDph83XaGc0o0/edit?usp=sharing"",""งบพรบ!ET43"")"),24480)</f>
        <v>24480</v>
      </c>
      <c r="O333" s="93">
        <f t="shared" ca="1" si="150"/>
        <v>13.830508474576272</v>
      </c>
      <c r="P333" s="93">
        <f t="shared" ca="1" si="151"/>
        <v>27.661016949152543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IFERROR(__xludf.DUMMYFUNCTION("IMPORTRANGE(""https://docs.google.com/spreadsheets/d/1QqKyyYR6Q21VydFLVH3TRQUabQu_ym0Zz7PgGX0-kHA/edit?usp=sharing"",""แผน!EG43"")"),3800)</f>
        <v>3800</v>
      </c>
      <c r="J338" s="269">
        <f ca="1">IFERROR(__xludf.DUMMYFUNCTION("IMPORTRANGE(""https://docs.google.com/spreadsheets/d/1kVcqe37tkHyjCSG3S0O1AXqVkqjo8mSIZil3BcpIysc/edit?usp=sharing"",""ศูนย์!D43"")"),779)</f>
        <v>779</v>
      </c>
      <c r="K338" s="496">
        <f ca="1">IF(I338&gt;0,J338*100/I338,0)</f>
        <v>20.5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IFERROR(__xludf.DUMMYFUNCTION("IMPORTRANGE(""https://docs.google.com/spreadsheets/d/1QqKyyYR6Q21VydFLVH3TRQUabQu_ym0Zz7PgGX0-kHA/edit?usp=sharing"",""แผน!EH43"")"),7)</f>
        <v>7</v>
      </c>
      <c r="J340" s="269">
        <f ca="1">IFERROR(__xludf.DUMMYFUNCTION("IMPORTRANGE(""https://docs.google.com/spreadsheets/d/1kVcqe37tkHyjCSG3S0O1AXqVkqjo8mSIZil3BcpIysc/edit?usp=sharing"",""ศูนย์!E43"")"),2)</f>
        <v>2</v>
      </c>
      <c r="K340" s="496">
        <f ca="1">IF(I340&gt;0,J340*100/I340,0)</f>
        <v>28.571428571428573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IFERROR(__xludf.DUMMYFUNCTION("IMPORTRANGE(""https://docs.google.com/spreadsheets/d/1kVcqe37tkHyjCSG3S0O1AXqVkqjo8mSIZil3BcpIysc/edit?usp=sharing"",""ศูนย์!F43"")"),159)</f>
        <v>159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IFERROR(__xludf.DUMMYFUNCTION("IMPORTRANGE(""https://docs.google.com/spreadsheets/d/1kVcqe37tkHyjCSG3S0O1AXqVkqjo8mSIZil3BcpIysc/edit?usp=sharing"",""ศูนย์!G43"")"),0)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IFERROR(__xludf.DUMMYFUNCTION("IMPORTRANGE(""https://docs.google.com/spreadsheets/d/1kVcqe37tkHyjCSG3S0O1AXqVkqjo8mSIZil3BcpIysc/edit?usp=sharing"",""ศูนย์!H43"")"),0)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1476480</v>
      </c>
      <c r="M345" s="155">
        <f t="shared" ca="1" si="155"/>
        <v>768240</v>
      </c>
      <c r="N345" s="155">
        <f t="shared" ca="1" si="155"/>
        <v>187151</v>
      </c>
      <c r="O345" s="155">
        <f t="shared" ref="O345:O353" ca="1" si="156">IF(L345&gt;0,N345*100/L345,0)</f>
        <v>12.675484937147811</v>
      </c>
      <c r="P345" s="155">
        <f t="shared" ref="P345:P353" ca="1" si="157">IF(M345&gt;0,N345*100/M345,0)</f>
        <v>24.36100697698636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1476480</v>
      </c>
      <c r="M347" s="93">
        <f t="shared" ca="1" si="158"/>
        <v>768240</v>
      </c>
      <c r="N347" s="93">
        <f t="shared" ca="1" si="158"/>
        <v>187151</v>
      </c>
      <c r="O347" s="93">
        <f t="shared" ca="1" si="156"/>
        <v>12.675484937147811</v>
      </c>
      <c r="P347" s="93">
        <f t="shared" ca="1" si="157"/>
        <v>24.36100697698636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1416480</v>
      </c>
      <c r="M348" s="496">
        <f t="shared" ca="1" si="159"/>
        <v>708240</v>
      </c>
      <c r="N348" s="496">
        <f t="shared" ca="1" si="159"/>
        <v>127151</v>
      </c>
      <c r="O348" s="496">
        <f t="shared" ca="1" si="156"/>
        <v>8.9765474980232689</v>
      </c>
      <c r="P348" s="496">
        <f t="shared" ca="1" si="157"/>
        <v>17.953094996046538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IFERROR(__xludf.DUMMYFUNCTION("IMPORTRANGE(""https://docs.google.com/spreadsheets/d/1MeEWN-I1oV_STSDYn1IFDPWt_1FKiwhDph83XaGc0o0/edit?usp=sharing"",""งบพรบ!FB43"")"),708240)</f>
        <v>708240</v>
      </c>
      <c r="N350" s="93">
        <f ca="1">IFERROR(__xludf.DUMMYFUNCTION("IMPORTRANGE(""https://docs.google.com/spreadsheets/d/1MeEWN-I1oV_STSDYn1IFDPWt_1FKiwhDph83XaGc0o0/edit?usp=sharing"",""งบพรบ!FD43"")"),127151)</f>
        <v>127151</v>
      </c>
      <c r="O350" s="93">
        <f t="shared" ca="1" si="156"/>
        <v>8.9765474980232689</v>
      </c>
      <c r="P350" s="93">
        <f t="shared" ca="1" si="157"/>
        <v>17.953094996046538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60000</v>
      </c>
      <c r="M351" s="496">
        <f t="shared" ca="1" si="160"/>
        <v>60000</v>
      </c>
      <c r="N351" s="496">
        <f t="shared" ca="1" si="160"/>
        <v>60000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IFERROR(__xludf.DUMMYFUNCTION("IMPORTRANGE(""https://docs.google.com/spreadsheets/d/1QqKyyYR6Q21VydFLVH3TRQUabQu_ym0Zz7PgGX0-kHA/edit?usp=sharing"",""แผน!EP43"")"),755)</f>
        <v>755</v>
      </c>
      <c r="J355" s="463">
        <f ca="1">J362</f>
        <v>8</v>
      </c>
      <c r="K355" s="464">
        <f ca="1">IF(I355&gt;0,J355*100/I355,0)</f>
        <v>1.0596026490066226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IFERROR(__xludf.DUMMYFUNCTION("IMPORTRANGE(""https://docs.google.com/spreadsheets/d/1XWAQStnk-4SwqDmLtmXYiTMKHgktTP8We1SCoS47DrQ/edit?usp=sharing"",""จัดที่ดิน!W43"")"),10)</f>
        <v>10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IFERROR(__xludf.DUMMYFUNCTION("IMPORTRANGE(""https://docs.google.com/spreadsheets/d/1QqKyyYR6Q21VydFLVH3TRQUabQu_ym0Zz7PgGX0-kHA/edit?usp=sharing"",""แผน!EO43"")"),7550)</f>
        <v>7550</v>
      </c>
      <c r="J359" s="269">
        <f ca="1">IFERROR(__xludf.DUMMYFUNCTION("IMPORTRANGE(""https://docs.google.com/spreadsheets/d/1XWAQStnk-4SwqDmLtmXYiTMKHgktTP8We1SCoS47DrQ/edit?usp=sharing"",""จัดที่ดิน!X43"")"),77.98)</f>
        <v>77.98</v>
      </c>
      <c r="K359" s="496">
        <f t="shared" ca="1" si="161"/>
        <v>1.0328476821192052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IFERROR(__xludf.DUMMYFUNCTION("IMPORTRANGE(""https://docs.google.com/spreadsheets/d/1QqKyyYR6Q21VydFLVH3TRQUabQu_ym0Zz7PgGX0-kHA/edit?usp=sharing"",""แผน!EP43"")"),755)</f>
        <v>755</v>
      </c>
      <c r="J360" s="269">
        <f ca="1">IFERROR(__xludf.DUMMYFUNCTION("IMPORTRANGE(""https://docs.google.com/spreadsheets/d/1XWAQStnk-4SwqDmLtmXYiTMKHgktTP8We1SCoS47DrQ/edit?usp=sharing"",""จัดที่ดิน!Y43"")"),8)</f>
        <v>8</v>
      </c>
      <c r="K360" s="496">
        <f t="shared" ca="1" si="161"/>
        <v>1.0596026490066226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IFERROR(__xludf.DUMMYFUNCTION("IMPORTRANGE(""https://docs.google.com/spreadsheets/d/1XWAQStnk-4SwqDmLtmXYiTMKHgktTP8We1SCoS47DrQ/edit?usp=sharing"",""จัดที่ดิน!Z43"")"),103.13)</f>
        <v>103.13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IFERROR(__xludf.DUMMYFUNCTION("IMPORTRANGE(""https://docs.google.com/spreadsheets/d/1QqKyyYR6Q21VydFLVH3TRQUabQu_ym0Zz7PgGX0-kHA/edit?usp=sharing"",""แผน!EP43"")"),755)</f>
        <v>755</v>
      </c>
      <c r="J362" s="269">
        <f ca="1">IFERROR(__xludf.DUMMYFUNCTION("IMPORTRANGE(""https://docs.google.com/spreadsheets/d/1XWAQStnk-4SwqDmLtmXYiTMKHgktTP8We1SCoS47DrQ/edit?usp=sharing"",""จัดที่ดิน!AA43"")"),8)</f>
        <v>8</v>
      </c>
      <c r="K362" s="496">
        <f t="shared" ca="1" si="161"/>
        <v>1.0596026490066226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IFERROR(__xludf.DUMMYFUNCTION("IMPORTRANGE(""https://docs.google.com/spreadsheets/d/1XWAQStnk-4SwqDmLtmXYiTMKHgktTP8We1SCoS47DrQ/edit?usp=sharing"",""จัดที่ดิน!AB43"")"),103.13)</f>
        <v>103.13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1155</v>
      </c>
      <c r="J364" s="477">
        <f t="shared" ca="1" si="162"/>
        <v>178</v>
      </c>
      <c r="K364" s="478">
        <f t="shared" ca="1" si="161"/>
        <v>15.411255411255411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IFERROR(__xludf.DUMMYFUNCTION("IMPORTRANGE(""https://docs.google.com/spreadsheets/d/1QqKyyYR6Q21VydFLVH3TRQUabQu_ym0Zz7PgGX0-kHA/edit?usp=sharing"",""แผน!EJ43"")"),355)</f>
        <v>355</v>
      </c>
      <c r="J365" s="489">
        <f ca="1">J372</f>
        <v>8</v>
      </c>
      <c r="K365" s="490">
        <f t="shared" ca="1" si="161"/>
        <v>2.2535211267605635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IFERROR(__xludf.DUMMYFUNCTION("IMPORTRANGE(""https://docs.google.com/spreadsheets/d/1XWAQStnk-4SwqDmLtmXYiTMKHgktTP8We1SCoS47DrQ/edit?usp=sharing"",""จัดที่ดิน!E43"")"),10)</f>
        <v>10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IFERROR(__xludf.DUMMYFUNCTION("IMPORTRANGE(""https://docs.google.com/spreadsheets/d/1QqKyyYR6Q21VydFLVH3TRQUabQu_ym0Zz7PgGX0-kHA/edit?usp=sharing"",""แผน!EI43"")"),3550)</f>
        <v>3550</v>
      </c>
      <c r="J369" s="269">
        <f ca="1">IFERROR(__xludf.DUMMYFUNCTION("IMPORTRANGE(""https://docs.google.com/spreadsheets/d/1XWAQStnk-4SwqDmLtmXYiTMKHgktTP8We1SCoS47DrQ/edit?usp=sharing"",""จัดที่ดิน!F43"")"),77.98)</f>
        <v>77.98</v>
      </c>
      <c r="K369" s="496">
        <f t="shared" ca="1" si="163"/>
        <v>2.1966197183098592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IFERROR(__xludf.DUMMYFUNCTION("IMPORTRANGE(""https://docs.google.com/spreadsheets/d/1QqKyyYR6Q21VydFLVH3TRQUabQu_ym0Zz7PgGX0-kHA/edit?usp=sharing"",""แผน!EJ43"")"),355)</f>
        <v>355</v>
      </c>
      <c r="J370" s="269">
        <f ca="1">IFERROR(__xludf.DUMMYFUNCTION("IMPORTRANGE(""https://docs.google.com/spreadsheets/d/1XWAQStnk-4SwqDmLtmXYiTMKHgktTP8We1SCoS47DrQ/edit?usp=sharing"",""จัดที่ดิน!G43"")"),8)</f>
        <v>8</v>
      </c>
      <c r="K370" s="496">
        <f t="shared" ca="1" si="163"/>
        <v>2.2535211267605635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IFERROR(__xludf.DUMMYFUNCTION("IMPORTRANGE(""https://docs.google.com/spreadsheets/d/1XWAQStnk-4SwqDmLtmXYiTMKHgktTP8We1SCoS47DrQ/edit?usp=sharing"",""จัดที่ดิน!H43"")"),103.13)</f>
        <v>103.13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IFERROR(__xludf.DUMMYFUNCTION("IMPORTRANGE(""https://docs.google.com/spreadsheets/d/1QqKyyYR6Q21VydFLVH3TRQUabQu_ym0Zz7PgGX0-kHA/edit?usp=sharing"",""แผน!EJ43"")"),355)</f>
        <v>355</v>
      </c>
      <c r="J372" s="269">
        <f ca="1">IFERROR(__xludf.DUMMYFUNCTION("IMPORTRANGE(""https://docs.google.com/spreadsheets/d/1XWAQStnk-4SwqDmLtmXYiTMKHgktTP8We1SCoS47DrQ/edit?usp=sharing"",""จัดที่ดิน!I43"")"),8)</f>
        <v>8</v>
      </c>
      <c r="K372" s="496">
        <f t="shared" ca="1" si="163"/>
        <v>2.2535211267605635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IFERROR(__xludf.DUMMYFUNCTION("IMPORTRANGE(""https://docs.google.com/spreadsheets/d/1XWAQStnk-4SwqDmLtmXYiTMKHgktTP8We1SCoS47DrQ/edit?usp=sharing"",""จัดที่ดิน!J43"")"),103.13)</f>
        <v>103.13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IFERROR(__xludf.DUMMYFUNCTION("IMPORTRANGE(""https://docs.google.com/spreadsheets/d/1QqKyyYR6Q21VydFLVH3TRQUabQu_ym0Zz7PgGX0-kHA/edit?usp=sharing"",""แผน!EU43"")"),800)</f>
        <v>800</v>
      </c>
      <c r="J374" s="489">
        <f ca="1">J381</f>
        <v>170</v>
      </c>
      <c r="K374" s="490">
        <f t="shared" ca="1" si="163"/>
        <v>21.25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IFERROR(__xludf.DUMMYFUNCTION("IMPORTRANGE(""https://docs.google.com/spreadsheets/d/1XWAQStnk-4SwqDmLtmXYiTMKHgktTP8We1SCoS47DrQ/edit?usp=sharing"",""จัดที่ดิน!AH43"")"),0)</f>
        <v>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IFERROR(__xludf.DUMMYFUNCTION("IMPORTRANGE(""https://docs.google.com/spreadsheets/d/1QqKyyYR6Q21VydFLVH3TRQUabQu_ym0Zz7PgGX0-kHA/edit?usp=sharing"",""แผน!ET43"")"),4000)</f>
        <v>4000</v>
      </c>
      <c r="J378" s="269">
        <f ca="1">IFERROR(__xludf.DUMMYFUNCTION("IMPORTRANGE(""https://docs.google.com/spreadsheets/d/1XWAQStnk-4SwqDmLtmXYiTMKHgktTP8We1SCoS47DrQ/edit?usp=sharing"",""จัดที่ดิน!AI43"")"),0)</f>
        <v>0</v>
      </c>
      <c r="K378" s="49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IFERROR(__xludf.DUMMYFUNCTION("IMPORTRANGE(""https://docs.google.com/spreadsheets/d/1QqKyyYR6Q21VydFLVH3TRQUabQu_ym0Zz7PgGX0-kHA/edit?usp=sharing"",""แผน!EU43"")"),800)</f>
        <v>800</v>
      </c>
      <c r="J379" s="269">
        <f ca="1">IFERROR(__xludf.DUMMYFUNCTION("IMPORTRANGE(""https://docs.google.com/spreadsheets/d/1XWAQStnk-4SwqDmLtmXYiTMKHgktTP8We1SCoS47DrQ/edit?usp=sharing"",""จัดที่ดิน!AJ43"")"),170)</f>
        <v>170</v>
      </c>
      <c r="K379" s="496">
        <f t="shared" ca="1" si="164"/>
        <v>21.25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IFERROR(__xludf.DUMMYFUNCTION("IMPORTRANGE(""https://docs.google.com/spreadsheets/d/1XWAQStnk-4SwqDmLtmXYiTMKHgktTP8We1SCoS47DrQ/edit?usp=sharing"",""จัดที่ดิน!AK43"")"),2653.93)</f>
        <v>2653.93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IFERROR(__xludf.DUMMYFUNCTION("IMPORTRANGE(""https://docs.google.com/spreadsheets/d/1QqKyyYR6Q21VydFLVH3TRQUabQu_ym0Zz7PgGX0-kHA/edit?usp=sharing"",""แผน!EU43"")"),800)</f>
        <v>800</v>
      </c>
      <c r="J381" s="269">
        <f ca="1">IFERROR(__xludf.DUMMYFUNCTION("IMPORTRANGE(""https://docs.google.com/spreadsheets/d/1XWAQStnk-4SwqDmLtmXYiTMKHgktTP8We1SCoS47DrQ/edit?usp=sharing"",""จัดที่ดิน!AL43"")"),170)</f>
        <v>170</v>
      </c>
      <c r="K381" s="496">
        <f t="shared" ca="1" si="164"/>
        <v>21.25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IFERROR(__xludf.DUMMYFUNCTION("IMPORTRANGE(""https://docs.google.com/spreadsheets/d/1XWAQStnk-4SwqDmLtmXYiTMKHgktTP8We1SCoS47DrQ/edit?usp=sharing"",""จัดที่ดิน!AM43"")"),2653.93)</f>
        <v>2653.93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IFERROR(__xludf.DUMMYFUNCTION("IMPORTRANGE(""https://docs.google.com/spreadsheets/d/1QqKyyYR6Q21VydFLVH3TRQUabQu_ym0Zz7PgGX0-kHA/edit?usp=sharing"",""แผน!EW43"")"),100)</f>
        <v>100</v>
      </c>
      <c r="J385" s="499">
        <f ca="1">IFERROR(__xludf.DUMMYFUNCTION("IMPORTRANGE(""https://docs.google.com/spreadsheets/d/1XWAQStnk-4SwqDmLtmXYiTMKHgktTP8We1SCoS47DrQ/edit?usp=sharing"",""จัดที่ดิน!AP43"")"),0)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2110732</v>
      </c>
      <c r="M414" s="547">
        <f t="shared" si="181"/>
        <v>0</v>
      </c>
      <c r="N414" s="547">
        <f t="shared" si="181"/>
        <v>144872</v>
      </c>
      <c r="O414" s="547">
        <f ca="1">IF(L414&gt;0,N414*100/L414,0)</f>
        <v>6.8635904510852157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20</v>
      </c>
      <c r="K417" s="564">
        <f t="shared" ref="K417:K418" ca="1" si="183">IF(I417&gt;0,J417*100/I417,0)</f>
        <v>100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1</v>
      </c>
      <c r="K418" s="564">
        <f t="shared" ca="1" si="183"/>
        <v>100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48400</v>
      </c>
      <c r="O419" s="155">
        <f t="shared" ref="O419:O424" ca="1" si="185">IF(L419&gt;0,N419*100/L419,0)</f>
        <v>61.530638189677092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48400</v>
      </c>
      <c r="O421" s="93">
        <f t="shared" ca="1" si="185"/>
        <v>61.530638189677092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48400</v>
      </c>
      <c r="O422" s="496">
        <f t="shared" ca="1" si="185"/>
        <v>61.530638189677092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v>0</v>
      </c>
      <c r="N424" s="93">
        <f>N425+N426+N427+N428</f>
        <v>48400</v>
      </c>
      <c r="O424" s="93">
        <f t="shared" ca="1" si="185"/>
        <v>61.530638189677092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48400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1</v>
      </c>
      <c r="K434" s="195">
        <f t="shared" ca="1" si="192"/>
        <v>100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IFERROR(__xludf.DUMMYFUNCTION("IMPORTRANGE(""https://docs.google.com/spreadsheets/d/1QqKyyYR6Q21VydFLVH3TRQUabQu_ym0Zz7PgGX0-kHA/edit?usp=sharing"",""แผน!FC43"")"),20)</f>
        <v>20</v>
      </c>
      <c r="J435" s="577">
        <v>20</v>
      </c>
      <c r="K435" s="496">
        <f t="shared" ca="1" si="192"/>
        <v>100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IFERROR(__xludf.DUMMYFUNCTION("IMPORTRANGE(""https://docs.google.com/spreadsheets/d/1QqKyyYR6Q21VydFLVH3TRQUabQu_ym0Zz7PgGX0-kHA/edit?usp=sharing"",""แผน!FD43"")"),0)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IFERROR(__xludf.DUMMYFUNCTION("IMPORTRANGE(""https://docs.google.com/spreadsheets/d/1QqKyyYR6Q21VydFLVH3TRQUabQu_ym0Zz7PgGX0-kHA/edit?usp=sharing"",""แผน!FE43"")"),0)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IFERROR(__xludf.DUMMYFUNCTION("IMPORTRANGE(""https://docs.google.com/spreadsheets/d/1QqKyyYR6Q21VydFLVH3TRQUabQu_ym0Zz7PgGX0-kHA/edit?usp=sharing"",""แผน!FF43"")"),20)</f>
        <v>20</v>
      </c>
      <c r="J439" s="577">
        <v>20</v>
      </c>
      <c r="K439" s="496">
        <f t="shared" ca="1" si="194"/>
        <v>100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IFERROR(__xludf.DUMMYFUNCTION("IMPORTRANGE(""https://docs.google.com/spreadsheets/d/1QqKyyYR6Q21VydFLVH3TRQUabQu_ym0Zz7PgGX0-kHA/edit?usp=sharing"",""แผน!FG43"")"),1)</f>
        <v>1</v>
      </c>
      <c r="J440" s="214">
        <v>1</v>
      </c>
      <c r="K440" s="496">
        <f t="shared" ca="1" si="194"/>
        <v>100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IFERROR(__xludf.DUMMYFUNCTION("IMPORTRANGE(""https://docs.google.com/spreadsheets/d/1QqKyyYR6Q21VydFLVH3TRQUabQu_ym0Zz7PgGX0-kHA/edit?usp=sharing"",""แผน!FH43"")"),0)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100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235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571280</v>
      </c>
      <c r="M444" s="195">
        <f t="shared" si="197"/>
        <v>0</v>
      </c>
      <c r="N444" s="195">
        <f t="shared" si="197"/>
        <v>18180</v>
      </c>
      <c r="O444" s="195">
        <f t="shared" ref="O444:O449" ca="1" si="198">IF(L444&gt;0,N444*100/L444,0)</f>
        <v>3.1823274051253327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571280</v>
      </c>
      <c r="M446" s="93">
        <f t="shared" si="200"/>
        <v>0</v>
      </c>
      <c r="N446" s="93">
        <f t="shared" si="200"/>
        <v>18180</v>
      </c>
      <c r="O446" s="93">
        <f t="shared" ca="1" si="198"/>
        <v>3.1823274051253327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571280</v>
      </c>
      <c r="M447" s="496">
        <f t="shared" si="201"/>
        <v>0</v>
      </c>
      <c r="N447" s="496">
        <f t="shared" si="201"/>
        <v>18180</v>
      </c>
      <c r="O447" s="496">
        <f t="shared" ca="1" si="198"/>
        <v>3.1823274051253327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v>0</v>
      </c>
      <c r="N449" s="93">
        <f>N450+N451+N452+N453</f>
        <v>18180</v>
      </c>
      <c r="O449" s="93">
        <f t="shared" ca="1" si="198"/>
        <v>3.1823274051253327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13000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5180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IFERROR(__xludf.DUMMYFUNCTION("IMPORTRANGE(""https://docs.google.com/spreadsheets/d/1QqKyyYR6Q21VydFLVH3TRQUabQu_ym0Zz7PgGX0-kHA/edit?usp=sharing"",""แผน!FN43"")"),100)</f>
        <v>100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IFERROR(__xludf.DUMMYFUNCTION("IMPORTRANGE(""https://docs.google.com/spreadsheets/d/1QqKyyYR6Q21VydFLVH3TRQUabQu_ym0Zz7PgGX0-kHA/edit?usp=sharing"",""แผน!FO43"")"),235)</f>
        <v>235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IFERROR(__xludf.DUMMYFUNCTION("IMPORTRANGE(""https://docs.google.com/spreadsheets/d/1QqKyyYR6Q21VydFLVH3TRQUabQu_ym0Zz7PgGX0-kHA/edit?usp=sharing"",""แผน!FO43"")"),235)</f>
        <v>235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IFERROR(__xludf.DUMMYFUNCTION("IMPORTRANGE(""https://docs.google.com/spreadsheets/d/1QqKyyYR6Q21VydFLVH3TRQUabQu_ym0Zz7PgGX0-kHA/edit?usp=sharing"",""แผน!FN43"")"),100)</f>
        <v>100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IFERROR(__xludf.DUMMYFUNCTION("IMPORTRANGE(""https://docs.google.com/spreadsheets/d/1QqKyyYR6Q21VydFLVH3TRQUabQu_ym0Zz7PgGX0-kHA/edit?usp=sharing"",""แผน!FX43"")"),31)</f>
        <v>31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IFERROR(__xludf.DUMMYFUNCTION("IMPORTRANGE(""https://docs.google.com/spreadsheets/d/1QqKyyYR6Q21VydFLVH3TRQUabQu_ym0Zz7PgGX0-kHA/edit?usp=sharing"",""แผน!FW43"")"),300)</f>
        <v>300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250523</v>
      </c>
      <c r="M467" s="195">
        <f t="shared" si="206"/>
        <v>0</v>
      </c>
      <c r="N467" s="195">
        <f t="shared" si="206"/>
        <v>6400</v>
      </c>
      <c r="O467" s="195">
        <f t="shared" ref="O467:O472" ca="1" si="207">IF(L467&gt;0,N467*100/L467,0)</f>
        <v>2.55465566035853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250523</v>
      </c>
      <c r="M469" s="93">
        <f t="shared" si="209"/>
        <v>0</v>
      </c>
      <c r="N469" s="93">
        <f t="shared" si="209"/>
        <v>6400</v>
      </c>
      <c r="O469" s="93">
        <f t="shared" ca="1" si="207"/>
        <v>2.55465566035853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250523</v>
      </c>
      <c r="M470" s="496">
        <f t="shared" si="210"/>
        <v>0</v>
      </c>
      <c r="N470" s="496">
        <f t="shared" si="210"/>
        <v>6400</v>
      </c>
      <c r="O470" s="496">
        <f t="shared" ca="1" si="207"/>
        <v>2.55465566035853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IFERROR(__xludf.DUMMYFUNCTION("IMPORTRANGE(""https://docs.google.com/spreadsheets/d/1QqKyyYR6Q21VydFLVH3TRQUabQu_ym0Zz7PgGX0-kHA/edit?usp=sharing"",""แผน!FS43"")"),250523)</f>
        <v>250523</v>
      </c>
      <c r="M472" s="93">
        <v>0</v>
      </c>
      <c r="N472" s="93">
        <f>N473+N474+N475+N476</f>
        <v>6400</v>
      </c>
      <c r="O472" s="93">
        <f t="shared" ca="1" si="207"/>
        <v>2.55465566035853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6400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IFERROR(__xludf.DUMMYFUNCTION("IMPORTRANGE(""https://docs.google.com/spreadsheets/d/1QqKyyYR6Q21VydFLVH3TRQUabQu_ym0Zz7PgGX0-kHA/edit?usp=sharing"",""แผน!FY43"")"),270)</f>
        <v>270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IFERROR(__xludf.DUMMYFUNCTION("IMPORTRANGE(""https://docs.google.com/spreadsheets/d/1QqKyyYR6Q21VydFLVH3TRQUabQu_ym0Zz7PgGX0-kHA/edit?usp=sharing"",""แผน!FZ43"")"),27)</f>
        <v>27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IFERROR(__xludf.DUMMYFUNCTION("IMPORTRANGE(""https://docs.google.com/spreadsheets/d/1QqKyyYR6Q21VydFLVH3TRQUabQu_ym0Zz7PgGX0-kHA/edit?usp=sharing"",""แผน!GA43"")"),30)</f>
        <v>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IFERROR(__xludf.DUMMYFUNCTION("IMPORTRANGE(""https://docs.google.com/spreadsheets/d/1QqKyyYR6Q21VydFLVH3TRQUabQu_ym0Zz7PgGX0-kHA/edit?usp=sharing"",""แผน!GB43"")"),3)</f>
        <v>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IFERROR(__xludf.DUMMYFUNCTION("IMPORTRANGE(""https://docs.google.com/spreadsheets/d/1QqKyyYR6Q21VydFLVH3TRQUabQu_ym0Zz7PgGX0-kHA/edit?usp=sharing"",""แผน!GC43"")"),1)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IFERROR(__xludf.DUMMYFUNCTION("IMPORTRANGE(""https://docs.google.com/spreadsheets/d/1QqKyyYR6Q21VydFLVH3TRQUabQu_ym0Zz7PgGX0-kHA/edit?usp=sharing"",""แผน!FY43"")"),270)</f>
        <v>270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IFERROR(__xludf.DUMMYFUNCTION("IMPORTRANGE(""https://docs.google.com/spreadsheets/d/1QqKyyYR6Q21VydFLVH3TRQUabQu_ym0Zz7PgGX0-kHA/edit?usp=sharing"",""แผน!GA43"")"),30)</f>
        <v>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IFERROR(__xludf.DUMMYFUNCTION("IMPORTRANGE(""https://docs.google.com/spreadsheets/d/1QqKyyYR6Q21VydFLVH3TRQUabQu_ym0Zz7PgGX0-kHA/edit?usp=sharing"",""แผน!GU43"")"),0)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IFERROR(__xludf.DUMMYFUNCTION("IMPORTRANGE(""https://docs.google.com/spreadsheets/d/1QqKyyYR6Q21VydFLVH3TRQUabQu_ym0Zz7PgGX0-kHA/edit?usp=sharing"",""แผน!GV43"")"),0)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IFERROR(__xludf.DUMMYFUNCTION("IMPORTRANGE(""https://docs.google.com/spreadsheets/d/1QqKyyYR6Q21VydFLVH3TRQUabQu_ym0Zz7PgGX0-kHA/edit?usp=sharing"",""แผน!GW43"")"),0)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IFERROR(__xludf.DUMMYFUNCTION("IMPORTRANGE(""https://docs.google.com/spreadsheets/d/1QqKyyYR6Q21VydFLVH3TRQUabQu_ym0Zz7PgGX0-kHA/edit?usp=sharing"",""แผน!GX43"")"),0)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IFERROR(__xludf.DUMMYFUNCTION("IMPORTRANGE(""https://docs.google.com/spreadsheets/d/1QqKyyYR6Q21VydFLVH3TRQUabQu_ym0Zz7PgGX0-kHA/edit?usp=sharing"",""แผน!GY43"")"),0)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IFERROR(__xludf.DUMMYFUNCTION("IMPORTRANGE(""https://docs.google.com/spreadsheets/d/1QqKyyYR6Q21VydFLVH3TRQUabQu_ym0Zz7PgGX0-kHA/edit?usp=sharing"",""แผน!GZ43"")"),0)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87155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413349</v>
      </c>
      <c r="M544" s="155">
        <f t="shared" si="236"/>
        <v>0</v>
      </c>
      <c r="N544" s="155">
        <f t="shared" si="236"/>
        <v>55900</v>
      </c>
      <c r="O544" s="155">
        <f t="shared" ref="O544:O549" ca="1" si="237">IF(L544&gt;0,N544*100/L544,0)</f>
        <v>13.52368095725404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413349</v>
      </c>
      <c r="M546" s="93">
        <f t="shared" si="240"/>
        <v>0</v>
      </c>
      <c r="N546" s="93">
        <f t="shared" si="240"/>
        <v>55900</v>
      </c>
      <c r="O546" s="93">
        <f t="shared" ca="1" si="237"/>
        <v>13.52368095725404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413349</v>
      </c>
      <c r="M547" s="496">
        <f t="shared" si="241"/>
        <v>0</v>
      </c>
      <c r="N547" s="496">
        <f t="shared" si="241"/>
        <v>55900</v>
      </c>
      <c r="O547" s="496">
        <f t="shared" ca="1" si="237"/>
        <v>13.52368095725404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IFERROR(__xludf.DUMMYFUNCTION("IMPORTRANGE(""https://docs.google.com/spreadsheets/d/1QqKyyYR6Q21VydFLVH3TRQUabQu_ym0Zz7PgGX0-kHA/edit?usp=sharing"",""แผน!HB43"")"),413349)</f>
        <v>413349</v>
      </c>
      <c r="M549" s="93">
        <v>0</v>
      </c>
      <c r="N549" s="93">
        <f>N550+N551+N552+N553+N554</f>
        <v>55900</v>
      </c>
      <c r="O549" s="93">
        <f t="shared" ca="1" si="237"/>
        <v>13.52368095725404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13000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f>25250+550+3300+13800</f>
        <v>42900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87155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IFERROR(__xludf.DUMMYFUNCTION("IMPORTRANGE(""https://docs.google.com/spreadsheets/d/1QqKyyYR6Q21VydFLVH3TRQUabQu_ym0Zz7PgGX0-kHA/edit?usp=sharing"",""แผน!HH43"")"),87155)</f>
        <v>87155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IFERROR(__xludf.DUMMYFUNCTION("IMPORTRANGE(""https://docs.google.com/spreadsheets/d/1QqKyyYR6Q21VydFLVH3TRQUabQu_ym0Zz7PgGX0-kHA/edit?usp=sharing"",""แผน!HG43"")"),9269)</f>
        <v>9269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IFERROR(__xludf.DUMMYFUNCTION("IMPORTRANGE(""https://docs.google.com/spreadsheets/d/1QqKyyYR6Q21VydFLVH3TRQUabQu_ym0Zz7PgGX0-kHA/edit?usp=sharing"",""แผน!HH43"")"),87155)</f>
        <v>87155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IFERROR(__xludf.DUMMYFUNCTION("IMPORTRANGE(""https://docs.google.com/spreadsheets/d/1QqKyyYR6Q21VydFLVH3TRQUabQu_ym0Zz7PgGX0-kHA/edit?usp=sharing"",""แผน!HG43"")"),9269)</f>
        <v>9269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IFERROR(__xludf.DUMMYFUNCTION("IMPORTRANGE(""https://docs.google.com/spreadsheets/d/1QqKyyYR6Q21VydFLVH3TRQUabQu_ym0Zz7PgGX0-kHA/edit?usp=sharing"",""แผน!HH43"")"),87155)</f>
        <v>87155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IFERROR(__xludf.DUMMYFUNCTION("IMPORTRANGE(""https://docs.google.com/spreadsheets/d/1QqKyyYR6Q21VydFLVH3TRQUabQu_ym0Zz7PgGX0-kHA/edit?usp=sharing"",""แผน!HG43"")"),9269)</f>
        <v>9269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441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IFERROR(__xludf.DUMMYFUNCTION("IMPORTRANGE(""https://docs.google.com/spreadsheets/d/1QqKyyYR6Q21VydFLVH3TRQUabQu_ym0Zz7PgGX0-kHA/edit?usp=sharing"",""แผน!HJ43"")"),441)</f>
        <v>441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IFERROR(__xludf.DUMMYFUNCTION("IMPORTRANGE(""https://docs.google.com/spreadsheets/d/1QqKyyYR6Q21VydFLVH3TRQUabQu_ym0Zz7PgGX0-kHA/edit?usp=sharing"",""แผน!HI43"")"),19)</f>
        <v>19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IFERROR(__xludf.DUMMYFUNCTION("IMPORTRANGE(""https://docs.google.com/spreadsheets/d/1QqKyyYR6Q21VydFLVH3TRQUabQu_ym0Zz7PgGX0-kHA/edit?usp=sharing"",""แผน!HL43"")"),0)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IFERROR(__xludf.DUMMYFUNCTION("IMPORTRANGE(""https://docs.google.com/spreadsheets/d/1QqKyyYR6Q21VydFLVH3TRQUabQu_ym0Zz7PgGX0-kHA/edit?usp=sharing"",""แผน!HK43"")"),0)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250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454240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454240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454240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IFERROR(__xludf.DUMMYFUNCTION("IMPORTRANGE(""https://docs.google.com/spreadsheets/d/1QqKyyYR6Q21VydFLVH3TRQUabQu_ym0Zz7PgGX0-kHA/edit?usp=sharing"",""แผน!HR43"")"),0)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IFERROR(__xludf.DUMMYFUNCTION("IMPORTRANGE(""https://docs.google.com/spreadsheets/d/1QqKyyYR6Q21VydFLVH3TRQUabQu_ym0Zz7PgGX0-kHA/edit?usp=sharing"",""แผน!HR43"")"),0)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IFERROR(__xludf.DUMMYFUNCTION("IMPORTRANGE(""https://docs.google.com/spreadsheets/d/1XWAQStnk-4SwqDmLtmXYiTMKHgktTP8We1SCoS47DrQ/edit?usp=sharing"",""จัดที่ดิน!AS43"")"),29)</f>
        <v>29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IFERROR(__xludf.DUMMYFUNCTION("IMPORTRANGE(""https://docs.google.com/spreadsheets/d/1XWAQStnk-4SwqDmLtmXYiTMKHgktTP8We1SCoS47DrQ/edit?usp=sharing"",""จัดที่ดิน!AT43"")"),33.13)</f>
        <v>33.130000000000003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IFERROR(__xludf.DUMMYFUNCTION("IMPORTRANGE(""https://docs.google.com/spreadsheets/d/1QqKyyYR6Q21VydFLVH3TRQUabQu_ym0Zz7PgGX0-kHA/edit?usp=sharing"",""แผน!HS43"")"),250)</f>
        <v>250</v>
      </c>
      <c r="J647" s="269">
        <f ca="1">IFERROR(__xludf.DUMMYFUNCTION("IMPORTRANGE(""https://docs.google.com/spreadsheets/d/1XWAQStnk-4SwqDmLtmXYiTMKHgktTP8We1SCoS47DrQ/edit?usp=sharing"",""จัดที่ดิน!AU43"")"),30)</f>
        <v>30</v>
      </c>
      <c r="K647" s="163">
        <f t="shared" ca="1" si="271"/>
        <v>12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IFERROR(__xludf.DUMMYFUNCTION("IMPORTRANGE(""https://docs.google.com/spreadsheets/d/1XWAQStnk-4SwqDmLtmXYiTMKHgktTP8We1SCoS47DrQ/edit?usp=sharing"",""จัดที่ดิน!AV43"")"),14.87)</f>
        <v>14.87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IFERROR(__xludf.DUMMYFUNCTION("IMPORTRANGE(""https://docs.google.com/spreadsheets/d/1QqKyyYR6Q21VydFLVH3TRQUabQu_ym0Zz7PgGX0-kHA/edit?usp=sharing"",""แผน!HS43"")"),250)</f>
        <v>250</v>
      </c>
      <c r="J649" s="269">
        <f ca="1">IFERROR(__xludf.DUMMYFUNCTION("IMPORTRANGE(""https://docs.google.com/spreadsheets/d/1XWAQStnk-4SwqDmLtmXYiTMKHgktTP8We1SCoS47DrQ/edit?usp=sharing"",""จัดที่ดิน!AW43"")"),0)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IFERROR(__xludf.DUMMYFUNCTION("IMPORTRANGE(""https://docs.google.com/spreadsheets/d/1XWAQStnk-4SwqDmLtmXYiTMKHgktTP8We1SCoS47DrQ/edit?usp=sharing"",""จัดที่ดิน!AX43"")"),0)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IFERROR(__xludf.DUMMYFUNCTION("IMPORTRANGE(""https://docs.google.com/spreadsheets/d/1QqKyyYR6Q21VydFLVH3TRQUabQu_ym0Zz7PgGX0-kHA/edit?usp=sharing"",""แผน!HS43"")"),250)</f>
        <v>250</v>
      </c>
      <c r="J651" s="269">
        <f ca="1">IFERROR(__xludf.DUMMYFUNCTION("IMPORTRANGE(""https://docs.google.com/spreadsheets/d/1XWAQStnk-4SwqDmLtmXYiTMKHgktTP8We1SCoS47DrQ/edit?usp=sharing"",""จัดที่ดิน!AY43"")"),0)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IFERROR(__xludf.DUMMYFUNCTION("IMPORTRANGE(""https://docs.google.com/spreadsheets/d/1XWAQStnk-4SwqDmLtmXYiTMKHgktTP8We1SCoS47DrQ/edit?usp=sharing"",""จัดที่ดิน!AZ43"")"),0)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100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14000</v>
      </c>
      <c r="M655" s="195">
        <f t="shared" si="273"/>
        <v>0</v>
      </c>
      <c r="N655" s="195">
        <f t="shared" si="273"/>
        <v>2500</v>
      </c>
      <c r="O655" s="195">
        <f t="shared" ref="O655:O660" ca="1" si="274">IF(L655&gt;0,N655*100/L655,0)</f>
        <v>17.857142857142858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14000</v>
      </c>
      <c r="M657" s="93">
        <f t="shared" si="276"/>
        <v>0</v>
      </c>
      <c r="N657" s="93">
        <f t="shared" si="276"/>
        <v>2500</v>
      </c>
      <c r="O657" s="93">
        <f t="shared" ca="1" si="274"/>
        <v>17.857142857142858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14000</v>
      </c>
      <c r="M658" s="496">
        <f t="shared" si="277"/>
        <v>0</v>
      </c>
      <c r="N658" s="496">
        <f t="shared" si="277"/>
        <v>2500</v>
      </c>
      <c r="O658" s="496">
        <f t="shared" ca="1" si="274"/>
        <v>17.857142857142858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v>0</v>
      </c>
      <c r="N660" s="93">
        <f>N661+N662+N663+N664</f>
        <v>2500</v>
      </c>
      <c r="O660" s="93">
        <f t="shared" ca="1" si="274"/>
        <v>17.857142857142858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2500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IFERROR(__xludf.DUMMYFUNCTION("IMPORTRANGE(""https://docs.google.com/spreadsheets/d/1QqKyyYR6Q21VydFLVH3TRQUabQu_ym0Zz7PgGX0-kHA/edit?usp=sharing"",""แผน!IA43"")"),100)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IFERROR(__xludf.DUMMYFUNCTION("IMPORTRANGE(""https://docs.google.com/spreadsheets/d/1QqKyyYR6Q21VydFLVH3TRQUabQu_ym0Zz7PgGX0-kHA/edit?usp=sharing"",""แผน!HZ43"")"),5)</f>
        <v>5</v>
      </c>
      <c r="J670" s="214">
        <v>5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IFERROR(__xludf.DUMMYFUNCTION("IMPORTRANGE(""https://docs.google.com/spreadsheets/d/1QqKyyYR6Q21VydFLVH3TRQUabQu_ym0Zz7PgGX0-kHA/edit?usp=sharing"",""แผน!HZ43"")"),5)</f>
        <v>5</v>
      </c>
      <c r="J671" s="214">
        <v>5</v>
      </c>
      <c r="K671" s="496">
        <f ca="1">IF(I$671&gt;0,J671*100/I$671,0)</f>
        <v>100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IFERROR(__xludf.DUMMYFUNCTION("IMPORTRANGE(""https://docs.google.com/spreadsheets/d/1QqKyyYR6Q21VydFLVH3TRQUabQu_ym0Zz7PgGX0-kHA/edit?usp=sharing"",""แผน!IB43"")"),0)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1480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1480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1480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IFERROR(__xludf.DUMMYFUNCTION("IMPORTRANGE(""https://docs.google.com/spreadsheets/d/1QqKyyYR6Q21VydFLVH3TRQUabQu_ym0Zz7PgGX0-kHA/edit?usp=sharing"",""แผน!IC43"")"),0)</f>
        <v>0</v>
      </c>
      <c r="J699" s="269">
        <f ca="1">IFERROR(__xludf.DUMMYFUNCTION("IMPORTRANGE(""https://docs.google.com/spreadsheets/d/1XWAQStnk-4SwqDmLtmXYiTMKHgktTP8We1SCoS47DrQ/edit?usp=sharing"",""จัดที่ดิน!BB43"")"),0)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IFERROR(__xludf.DUMMYFUNCTION("IMPORTRANGE(""https://docs.google.com/spreadsheets/d/1QqKyyYR6Q21VydFLVH3TRQUabQu_ym0Zz7PgGX0-kHA/edit?usp=sharing"",""แผน!ID43"")"),0)</f>
        <v>0</v>
      </c>
      <c r="J700" s="269">
        <f ca="1">IFERROR(__xludf.DUMMYFUNCTION("IMPORTRANGE(""https://docs.google.com/spreadsheets/d/1XWAQStnk-4SwqDmLtmXYiTMKHgktTP8We1SCoS47DrQ/edit?usp=sharing"",""จัดที่ดิน!BD43"")"),0)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IFERROR(__xludf.DUMMYFUNCTION("IMPORTRANGE(""https://docs.google.com/spreadsheets/d/1QqKyyYR6Q21VydFLVH3TRQUabQu_ym0Zz7PgGX0-kHA/edit?usp=sharing"",""แผน!IE43"")"),0)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IFERROR(__xludf.DUMMYFUNCTION("IMPORTRANGE(""https://docs.google.com/spreadsheets/d/1QqKyyYR6Q21VydFLVH3TRQUabQu_ym0Zz7PgGX0-kHA/edit?usp=sharing"",""แผน!IF43"")"),0)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IFERROR(__xludf.DUMMYFUNCTION("IMPORTRANGE(""https://docs.google.com/spreadsheets/d/1QqKyyYR6Q21VydFLVH3TRQUabQu_ym0Zz7PgGX0-kHA/edit?usp=sharing"",""แผน!IG43"")"),0)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IFERROR(__xludf.DUMMYFUNCTION("IMPORTRANGE(""https://docs.google.com/spreadsheets/d/1QqKyyYR6Q21VydFLVH3TRQUabQu_ym0Zz7PgGX0-kHA/edit?usp=sharing"",""แผน!IH43"")"),12)</f>
        <v>12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IFERROR(__xludf.DUMMYFUNCTION("IMPORTRANGE(""https://docs.google.com/spreadsheets/d/1XWAQStnk-4SwqDmLtmXYiTMKHgktTP8We1SCoS47DrQ/edit?usp=sharing"",""จัดที่ดิน!BF43"")"),0)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IFERROR(__xludf.DUMMYFUNCTION("IMPORTRANGE(""https://docs.google.com/spreadsheets/d/1XWAQStnk-4SwqDmLtmXYiTMKHgktTP8We1SCoS47DrQ/edit?usp=sharing"",""จัดที่ดิน!BG43"")"),0)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IFERROR(__xludf.DUMMYFUNCTION("IMPORTRANGE(""https://docs.google.com/spreadsheets/d/1QqKyyYR6Q21VydFLVH3TRQUabQu_ym0Zz7PgGX0-kHA/edit?usp=sharing"",""แผน!II43"")"),0)</f>
        <v>0</v>
      </c>
      <c r="J720" s="269">
        <f ca="1">IFERROR(__xludf.DUMMYFUNCTION("IMPORTRANGE(""https://docs.google.com/spreadsheets/d/1XWAQStnk-4SwqDmLtmXYiTMKHgktTP8We1SCoS47DrQ/edit?usp=sharing"",""จัดที่ดิน!BH43"")"),0)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IFERROR(__xludf.DUMMYFUNCTION("IMPORTRANGE(""https://docs.google.com/spreadsheets/d/1QqKyyYR6Q21VydFLVH3TRQUabQu_ym0Zz7PgGX0-kHA/edit?usp=sharing"",""แผน!IJ43"")"),2)</f>
        <v>2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IFERROR(__xludf.DUMMYFUNCTION("IMPORTRANGE(""https://docs.google.com/spreadsheets/d/1QqKyyYR6Q21VydFLVH3TRQUabQu_ym0Zz7PgGX0-kHA/edit?usp=sharing"",""แผน!IK43"")"),12)</f>
        <v>12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IFERROR(__xludf.DUMMYFUNCTION("IMPORTRANGE(""https://docs.google.com/spreadsheets/d/1QqKyyYR6Q21VydFLVH3TRQUabQu_ym0Zz7PgGX0-kHA/edit?usp=sharing"",""แผน!IL43"")"),2)</f>
        <v>2</v>
      </c>
      <c r="J723" s="269">
        <f ca="1">IFERROR(__xludf.DUMMYFUNCTION("IMPORTRANGE(""https://docs.google.com/spreadsheets/d/1XWAQStnk-4SwqDmLtmXYiTMKHgktTP8We1SCoS47DrQ/edit?usp=sharing"",""จัดที่ดิน!BM43"")"),0)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IFERROR(__xludf.DUMMYFUNCTION("IMPORTRANGE(""https://docs.google.com/spreadsheets/d/1XWAQStnk-4SwqDmLtmXYiTMKHgktTP8We1SCoS47DrQ/edit?usp=sharing"",""จัดที่ดิน!BN43"")"),0)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IFERROR(__xludf.DUMMYFUNCTION("IMPORTRANGE(""https://docs.google.com/spreadsheets/d/1QqKyyYR6Q21VydFLVH3TRQUabQu_ym0Zz7PgGX0-kHA/edit?usp=sharing"",""แผน!IM43"")"),12)</f>
        <v>12</v>
      </c>
      <c r="J725" s="269">
        <f ca="1">IFERROR(__xludf.DUMMYFUNCTION("IMPORTRANGE(""https://docs.google.com/spreadsheets/d/1XWAQStnk-4SwqDmLtmXYiTMKHgktTP8We1SCoS47DrQ/edit?usp=sharing"",""จัดที่ดิน!BO43"")"),0)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IFERROR(__xludf.DUMMYFUNCTION("IMPORTRANGE(""https://docs.google.com/spreadsheets/d/1QqKyyYR6Q21VydFLVH3TRQUabQu_ym0Zz7PgGX0-kHA/edit?usp=sharing"",""แผน!IN43"")"),0)</f>
        <v>0</v>
      </c>
      <c r="J726" s="269">
        <f ca="1">IFERROR(__xludf.DUMMYFUNCTION("IMPORTRANGE(""https://docs.google.com/spreadsheets/d/1XWAQStnk-4SwqDmLtmXYiTMKHgktTP8We1SCoS47DrQ/edit?usp=sharing"",""จัดที่ดิน!BR43"")"),0)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IFERROR(__xludf.DUMMYFUNCTION("IMPORTRANGE(""https://docs.google.com/spreadsheets/d/1XWAQStnk-4SwqDmLtmXYiTMKHgktTP8We1SCoS47DrQ/edit?usp=sharing"",""จัดที่ดิน!BS43"")"),0)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IFERROR(__xludf.DUMMYFUNCTION("IMPORTRANGE(""https://docs.google.com/spreadsheets/d/1QqKyyYR6Q21VydFLVH3TRQUabQu_ym0Zz7PgGX0-kHA/edit?usp=sharing"",""แผน!IO43"")"),0)</f>
        <v>0</v>
      </c>
      <c r="J728" s="269">
        <f ca="1">IFERROR(__xludf.DUMMYFUNCTION("IMPORTRANGE(""https://docs.google.com/spreadsheets/d/1XWAQStnk-4SwqDmLtmXYiTMKHgktTP8We1SCoS47DrQ/edit?usp=sharing"",""จัดที่ดิน!BT43"")"),0)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IFERROR(__xludf.DUMMYFUNCTION("IMPORTRANGE(""https://docs.google.com/spreadsheets/d/1QqKyyYR6Q21VydFLVH3TRQUabQu_ym0Zz7PgGX0-kHA/edit?usp=sharing"",""แผน!IP43"")"),0)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5000</v>
      </c>
      <c r="J785" s="798">
        <f t="shared" ca="1" si="318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327200</v>
      </c>
      <c r="M786" s="195">
        <f t="shared" si="319"/>
        <v>0</v>
      </c>
      <c r="N786" s="195">
        <f t="shared" si="319"/>
        <v>13492</v>
      </c>
      <c r="O786" s="195">
        <f t="shared" ref="O786:O791" ca="1" si="320">IF(L786&gt;0,N786*100/L786,0)</f>
        <v>4.1234718826405867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327200</v>
      </c>
      <c r="M788" s="93">
        <f t="shared" si="322"/>
        <v>0</v>
      </c>
      <c r="N788" s="93">
        <f t="shared" si="322"/>
        <v>13492</v>
      </c>
      <c r="O788" s="93">
        <f t="shared" ca="1" si="320"/>
        <v>4.1234718826405867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327200</v>
      </c>
      <c r="M789" s="496">
        <f t="shared" si="323"/>
        <v>0</v>
      </c>
      <c r="N789" s="496">
        <f t="shared" si="323"/>
        <v>13492</v>
      </c>
      <c r="O789" s="496">
        <f t="shared" ca="1" si="320"/>
        <v>4.1234718826405867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v>0</v>
      </c>
      <c r="N791" s="93">
        <f>N792+N793+N794+N795</f>
        <v>13492</v>
      </c>
      <c r="O791" s="93">
        <f t="shared" ca="1" si="320"/>
        <v>4.1234718826405867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9377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4115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IFERROR(__xludf.DUMMYFUNCTION("IMPORTRANGE(""https://docs.google.com/spreadsheets/d/1QqKyyYR6Q21VydFLVH3TRQUabQu_ym0Zz7PgGX0-kHA/edit?usp=sharing"",""แผน!JN43"")"),5000)</f>
        <v>5000</v>
      </c>
      <c r="J800" s="184">
        <f ca="1">IFERROR(__xludf.DUMMYFUNCTION("IMPORTRANGE(""https://docs.google.com/spreadsheets/d/1MaWodYyGHDf7siQLGxnXhG4mBNTNIuy296niS2xXulU/edit?usp=sharing"",""RTK!H43"")"),0)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IFERROR(__xludf.DUMMYFUNCTION("IMPORTRANGE(""https://docs.google.com/spreadsheets/d/1MaWodYyGHDf7siQLGxnXhG4mBNTNIuy296niS2xXulU/edit?usp=sharing"",""RTK!I43"")"),0)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69">
        <f ca="1">IFERROR(__xludf.DUMMYFUNCTION("IMPORTRANGE(""https://docs.google.com/spreadsheets/d/19vJNZY_5yjcGF2XGBMNZRCAIB0Kwfpjp8YEOfu-bneM/edit?usp=sharing"",""งานกองทุน!F43"")"),0)</f>
        <v>0</v>
      </c>
      <c r="K821" s="496">
        <f t="shared" ref="K821:K828" ca="1" si="335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IFERROR(__xludf.DUMMYFUNCTION("IMPORTRANGE(""https://docs.google.com/spreadsheets/d/19vJNZY_5yjcGF2XGBMNZRCAIB0Kwfpjp8YEOfu-bneM/edit?usp=sharing"",""งานกองทุน!C43"")"),297)</f>
        <v>297</v>
      </c>
      <c r="J822" s="269">
        <f ca="1">IFERROR(__xludf.DUMMYFUNCTION("IMPORTRANGE(""https://docs.google.com/spreadsheets/d/19vJNZY_5yjcGF2XGBMNZRCAIB0Kwfpjp8YEOfu-bneM/edit?usp=sharing"",""งานกองทุน!E43"")"),0)</f>
        <v>0</v>
      </c>
      <c r="K822" s="496">
        <f t="shared" ca="1" si="335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69">
        <f ca="1">IFERROR(__xludf.DUMMYFUNCTION("IMPORTRANGE(""https://docs.google.com/spreadsheets/d/19vJNZY_5yjcGF2XGBMNZRCAIB0Kwfpjp8YEOfu-bneM/edit?usp=sharing"",""งานกองทุน!K43"")"),141462.74)</f>
        <v>141462.74</v>
      </c>
      <c r="K823" s="496">
        <f t="shared" ca="1" si="335"/>
        <v>0.98636073462802676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IFERROR(__xludf.DUMMYFUNCTION("IMPORTRANGE(""https://docs.google.com/spreadsheets/d/19vJNZY_5yjcGF2XGBMNZRCAIB0Kwfpjp8YEOfu-bneM/edit?usp=sharing"",""งานกองทุน!H43"")"),407)</f>
        <v>407</v>
      </c>
      <c r="J824" s="269">
        <f ca="1">IFERROR(__xludf.DUMMYFUNCTION("IMPORTRANGE(""https://docs.google.com/spreadsheets/d/19vJNZY_5yjcGF2XGBMNZRCAIB0Kwfpjp8YEOfu-bneM/edit?usp=sharing"",""งานกองทุน!J43"")"),50)</f>
        <v>50</v>
      </c>
      <c r="K824" s="496">
        <f t="shared" ca="1" si="335"/>
        <v>12.285012285012286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IFERROR(__xludf.DUMMYFUNCTION("IMPORTRANGE(""https://docs.google.com/spreadsheets/d/19vJNZY_5yjcGF2XGBMNZRCAIB0Kwfpjp8YEOfu-bneM/edit?usp=sharing"",""งานกองทุน!N43"")"),0)</f>
        <v>0</v>
      </c>
      <c r="J825" s="269">
        <f ca="1">IFERROR(__xludf.DUMMYFUNCTION("IMPORTRANGE(""https://docs.google.com/spreadsheets/d/19vJNZY_5yjcGF2XGBMNZRCAIB0Kwfpjp8YEOfu-bneM/edit?usp=sharing"",""งานกองทุน!P43"")"),0)</f>
        <v>0</v>
      </c>
      <c r="K825" s="496">
        <f t="shared" ca="1" si="335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IFERROR(__xludf.DUMMYFUNCTION("IMPORTRANGE(""https://docs.google.com/spreadsheets/d/19vJNZY_5yjcGF2XGBMNZRCAIB0Kwfpjp8YEOfu-bneM/edit?usp=sharing"",""งานกองทุน!M43"")"),0)</f>
        <v>0</v>
      </c>
      <c r="J826" s="269">
        <f ca="1">IFERROR(__xludf.DUMMYFUNCTION("IMPORTRANGE(""https://docs.google.com/spreadsheets/d/19vJNZY_5yjcGF2XGBMNZRCAIB0Kwfpjp8YEOfu-bneM/edit?usp=sharing"",""งานกองทุน!O43"")"),0)</f>
        <v>0</v>
      </c>
      <c r="K826" s="496">
        <f t="shared" ca="1" si="335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IFERROR(__xludf.DUMMYFUNCTION("IMPORTRANGE(""https://docs.google.com/spreadsheets/d/19vJNZY_5yjcGF2XGBMNZRCAIB0Kwfpjp8YEOfu-bneM/edit?usp=sharing"",""งานกองทุน!S43"")"),13430000)</f>
        <v>13430000</v>
      </c>
      <c r="J827" s="269">
        <f ca="1">IFERROR(__xludf.DUMMYFUNCTION("IMPORTRANGE(""https://docs.google.com/spreadsheets/d/19vJNZY_5yjcGF2XGBMNZRCAIB0Kwfpjp8YEOfu-bneM/edit?usp=sharing"",""งานกองทุน!U43"")"),0)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IFERROR(__xludf.DUMMYFUNCTION("IMPORTRANGE(""https://docs.google.com/spreadsheets/d/19vJNZY_5yjcGF2XGBMNZRCAIB0Kwfpjp8YEOfu-bneM/edit?usp=sharing"",""งานกองทุน!R43"")"),537)</f>
        <v>537</v>
      </c>
      <c r="J828" s="499">
        <f ca="1">IFERROR(__xludf.DUMMYFUNCTION("IMPORTRANGE(""https://docs.google.com/spreadsheets/d/19vJNZY_5yjcGF2XGBMNZRCAIB0Kwfpjp8YEOfu-bneM/edit?usp=sharing"",""งานกองทุน!T43"")"),29)</f>
        <v>29</v>
      </c>
      <c r="K828" s="500">
        <f t="shared" ca="1" si="335"/>
        <v>5.400372439478585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E3761-2230-49EB-9D77-E703A626478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2" width="23" bestFit="1" customWidth="1"/>
    <col min="13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348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11427714</v>
      </c>
      <c r="M8" s="22">
        <f t="shared" ca="1" si="0"/>
        <v>6735083</v>
      </c>
      <c r="N8" s="22">
        <f t="shared" ca="1" si="0"/>
        <v>3412624.79</v>
      </c>
      <c r="O8" s="22">
        <f t="shared" ref="O8:O16" ca="1" si="1">IF(L8&gt;0,N8*100/L8,0)</f>
        <v>29.862707362119842</v>
      </c>
      <c r="P8" s="22">
        <f t="shared" ref="P8:P16" ca="1" si="2">IF(M8&gt;0,N8*100/M8,0)</f>
        <v>50.66937987252718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11427714</v>
      </c>
      <c r="M10" s="30">
        <f t="shared" ca="1" si="3"/>
        <v>6735083</v>
      </c>
      <c r="N10" s="30">
        <f t="shared" ca="1" si="3"/>
        <v>3412624.79</v>
      </c>
      <c r="O10" s="30">
        <f t="shared" ca="1" si="1"/>
        <v>29.862707362119842</v>
      </c>
      <c r="P10" s="30">
        <f t="shared" ca="1" si="2"/>
        <v>50.66937987252718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7287314</v>
      </c>
      <c r="M11" s="496">
        <f t="shared" ca="1" si="4"/>
        <v>2594683</v>
      </c>
      <c r="N11" s="496">
        <f t="shared" ca="1" si="4"/>
        <v>805324.78999999992</v>
      </c>
      <c r="O11" s="496">
        <f t="shared" ca="1" si="1"/>
        <v>11.051051045693926</v>
      </c>
      <c r="P11" s="496">
        <f t="shared" ca="1" si="2"/>
        <v>31.037502076361537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7287314</v>
      </c>
      <c r="M13" s="93">
        <f t="shared" ca="1" si="5"/>
        <v>2594683</v>
      </c>
      <c r="N13" s="93">
        <f t="shared" ca="1" si="5"/>
        <v>805324.78999999992</v>
      </c>
      <c r="O13" s="93">
        <f t="shared" ca="1" si="1"/>
        <v>11.051051045693926</v>
      </c>
      <c r="P13" s="93">
        <f t="shared" ca="1" si="2"/>
        <v>31.037502076361537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4140400</v>
      </c>
      <c r="M14" s="496">
        <f t="shared" ca="1" si="6"/>
        <v>4140400</v>
      </c>
      <c r="N14" s="496">
        <f t="shared" ca="1" si="6"/>
        <v>2607300</v>
      </c>
      <c r="O14" s="496">
        <f t="shared" ca="1" si="1"/>
        <v>62.972176601294564</v>
      </c>
      <c r="P14" s="496">
        <f t="shared" ca="1" si="2"/>
        <v>62.972176601294564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4140400</v>
      </c>
      <c r="N16" s="52">
        <f t="shared" ca="1" si="7"/>
        <v>2607300</v>
      </c>
      <c r="O16" s="52">
        <f t="shared" ca="1" si="1"/>
        <v>62.972176601294564</v>
      </c>
      <c r="P16" s="52">
        <f t="shared" ca="1" si="2"/>
        <v>62.972176601294564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6735083</v>
      </c>
      <c r="N18" s="22">
        <f t="shared" ca="1" si="8"/>
        <v>3412624.79</v>
      </c>
      <c r="O18" s="22">
        <f t="shared" ref="O18:O26" ca="1" si="9">IF(L18&gt;0,N18*100/L18,0)</f>
        <v>36.836361648278661</v>
      </c>
      <c r="P18" s="22">
        <f t="shared" ref="P18:P26" ca="1" si="10">IF(M18&gt;0,N18*100/M18,0)</f>
        <v>50.66937987252718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6735083</v>
      </c>
      <c r="N20" s="30">
        <f t="shared" ca="1" si="11"/>
        <v>3412624.79</v>
      </c>
      <c r="O20" s="30">
        <f t="shared" ca="1" si="9"/>
        <v>36.836361648278661</v>
      </c>
      <c r="P20" s="30">
        <f t="shared" ca="1" si="10"/>
        <v>50.66937987252718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5123883</v>
      </c>
      <c r="M21" s="496">
        <f t="shared" ca="1" si="12"/>
        <v>2594683</v>
      </c>
      <c r="N21" s="496">
        <f t="shared" ca="1" si="12"/>
        <v>805324.78999999992</v>
      </c>
      <c r="O21" s="496">
        <f t="shared" ca="1" si="9"/>
        <v>15.717079995776638</v>
      </c>
      <c r="P21" s="496">
        <f t="shared" ca="1" si="10"/>
        <v>31.037502076361537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5123883</v>
      </c>
      <c r="M23" s="93">
        <f t="shared" ca="1" si="13"/>
        <v>2594683</v>
      </c>
      <c r="N23" s="93">
        <f t="shared" ca="1" si="13"/>
        <v>805324.78999999992</v>
      </c>
      <c r="O23" s="93">
        <f t="shared" ca="1" si="9"/>
        <v>15.717079995776638</v>
      </c>
      <c r="P23" s="93">
        <f t="shared" ca="1" si="10"/>
        <v>31.037502076361537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4140400</v>
      </c>
      <c r="M24" s="496">
        <f t="shared" ca="1" si="14"/>
        <v>4140400</v>
      </c>
      <c r="N24" s="496">
        <f t="shared" ca="1" si="14"/>
        <v>2607300</v>
      </c>
      <c r="O24" s="496">
        <f t="shared" ca="1" si="9"/>
        <v>62.972176601294564</v>
      </c>
      <c r="P24" s="496">
        <f t="shared" ca="1" si="10"/>
        <v>62.972176601294564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4140400</v>
      </c>
      <c r="N26" s="52">
        <f t="shared" ca="1" si="15"/>
        <v>2607300</v>
      </c>
      <c r="O26" s="52">
        <f t="shared" ca="1" si="9"/>
        <v>62.972176601294564</v>
      </c>
      <c r="P26" s="52">
        <f t="shared" ca="1" si="10"/>
        <v>62.972176601294564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2163431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2163431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2163431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2163431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9264283</v>
      </c>
      <c r="M37" s="59">
        <f t="shared" ca="1" si="24"/>
        <v>6735083</v>
      </c>
      <c r="N37" s="59">
        <f t="shared" ca="1" si="24"/>
        <v>3412624.79</v>
      </c>
      <c r="O37" s="59">
        <f t="shared" ca="1" si="17"/>
        <v>36.836361648278661</v>
      </c>
      <c r="P37" s="59">
        <f t="shared" ca="1" si="18"/>
        <v>50.66937987252718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355388</v>
      </c>
      <c r="N41" s="85">
        <f t="shared" ca="1" si="25"/>
        <v>165935</v>
      </c>
      <c r="O41" s="85">
        <f t="shared" ref="O41:O49" ca="1" si="26">IF(L41&gt;0,N41*100/L41,0)</f>
        <v>23.560674042437185</v>
      </c>
      <c r="P41" s="85">
        <f t="shared" ref="P41:P49" ca="1" si="27">IF(M41&gt;0,N41*100/M41,0)</f>
        <v>46.691221988362017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355388</v>
      </c>
      <c r="N43" s="92">
        <f t="shared" ca="1" si="28"/>
        <v>165935</v>
      </c>
      <c r="O43" s="92">
        <f t="shared" ca="1" si="26"/>
        <v>23.560674042437185</v>
      </c>
      <c r="P43" s="92">
        <f t="shared" ca="1" si="27"/>
        <v>46.691221988362017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704288</v>
      </c>
      <c r="M44" s="496">
        <f t="shared" ca="1" si="29"/>
        <v>355388</v>
      </c>
      <c r="N44" s="496">
        <f t="shared" ca="1" si="29"/>
        <v>165935</v>
      </c>
      <c r="O44" s="496">
        <f t="shared" ca="1" si="26"/>
        <v>23.560674042437185</v>
      </c>
      <c r="P44" s="496">
        <f t="shared" ca="1" si="27"/>
        <v>46.691221988362017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IFERROR(__xludf.DUMMYFUNCTION("IMPORTRANGE(""https://docs.google.com/spreadsheets/d/1MeEWN-I1oV_STSDYn1IFDPWt_1FKiwhDph83XaGc0o0/edit?usp=sharing"",""งบพรบ!R44"")"),355388)</f>
        <v>355388</v>
      </c>
      <c r="N46" s="93">
        <f ca="1">IFERROR(__xludf.DUMMYFUNCTION("IMPORTRANGE(""https://docs.google.com/spreadsheets/d/1MeEWN-I1oV_STSDYn1IFDPWt_1FKiwhDph83XaGc0o0/edit?usp=sharing"",""งบพรบ!T44"")"),165935)</f>
        <v>165935</v>
      </c>
      <c r="O46" s="93">
        <f t="shared" ca="1" si="26"/>
        <v>23.560674042437185</v>
      </c>
      <c r="P46" s="93">
        <f t="shared" ca="1" si="27"/>
        <v>46.691221988362017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4431700</v>
      </c>
      <c r="N53" s="116">
        <f t="shared" ca="1" si="31"/>
        <v>2751233.2199999997</v>
      </c>
      <c r="O53" s="116">
        <f t="shared" ref="O53:O61" ca="1" si="32">IF(L53&gt;0,N53*100/L53,0)</f>
        <v>56.733476718769332</v>
      </c>
      <c r="P53" s="116">
        <f t="shared" ref="P53:P61" ca="1" si="33">IF(M53&gt;0,N53*100/M53,0)</f>
        <v>62.080764040887246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4431700</v>
      </c>
      <c r="N55" s="123">
        <f t="shared" ca="1" si="34"/>
        <v>2751233.2199999997</v>
      </c>
      <c r="O55" s="123">
        <f t="shared" ca="1" si="32"/>
        <v>56.733476718769332</v>
      </c>
      <c r="P55" s="123">
        <f t="shared" ca="1" si="33"/>
        <v>62.080764040887246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835400</v>
      </c>
      <c r="M56" s="496">
        <f t="shared" ca="1" si="35"/>
        <v>417700</v>
      </c>
      <c r="N56" s="496">
        <f t="shared" ca="1" si="35"/>
        <v>269633.21999999997</v>
      </c>
      <c r="O56" s="496">
        <f t="shared" ca="1" si="32"/>
        <v>32.275942063682066</v>
      </c>
      <c r="P56" s="496">
        <f t="shared" ca="1" si="33"/>
        <v>64.551884127364133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IFERROR(__xludf.DUMMYFUNCTION("IMPORTRANGE(""https://docs.google.com/spreadsheets/d/1MeEWN-I1oV_STSDYn1IFDPWt_1FKiwhDph83XaGc0o0/edit?usp=sharing"",""งบพรบ!AB44"")"),417700)</f>
        <v>417700</v>
      </c>
      <c r="N58" s="93">
        <f ca="1">IFERROR(__xludf.DUMMYFUNCTION("IMPORTRANGE(""https://docs.google.com/spreadsheets/d/1MeEWN-I1oV_STSDYn1IFDPWt_1FKiwhDph83XaGc0o0/edit?usp=sharing"",""งบพรบ!AD44"")"),269633.22)</f>
        <v>269633.21999999997</v>
      </c>
      <c r="O58" s="93">
        <f t="shared" ca="1" si="32"/>
        <v>32.275942063682066</v>
      </c>
      <c r="P58" s="93">
        <f t="shared" ca="1" si="33"/>
        <v>64.551884127364133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4014000</v>
      </c>
      <c r="M59" s="496">
        <f t="shared" ca="1" si="36"/>
        <v>4014000</v>
      </c>
      <c r="N59" s="496">
        <f t="shared" ca="1" si="36"/>
        <v>2481600</v>
      </c>
      <c r="O59" s="496">
        <f t="shared" ca="1" si="32"/>
        <v>61.823617339312406</v>
      </c>
      <c r="P59" s="496">
        <f t="shared" ca="1" si="33"/>
        <v>61.823617339312406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IFERROR(__xludf.DUMMYFUNCTION("IMPORTRANGE(""https://docs.google.com/spreadsheets/d/1MeEWN-I1oV_STSDYn1IFDPWt_1FKiwhDph83XaGc0o0/edit?usp=sharing"",""งบพรบ!AC44"")"),4014000)</f>
        <v>4014000</v>
      </c>
      <c r="N61" s="52">
        <f ca="1">IFERROR(__xludf.DUMMYFUNCTION("IMPORTRANGE(""https://docs.google.com/spreadsheets/d/1MeEWN-I1oV_STSDYn1IFDPWt_1FKiwhDph83XaGc0o0/edit?usp=sharing"",""งบพรบ!AE44"")"),2481600)</f>
        <v>2481600</v>
      </c>
      <c r="O61" s="52">
        <f t="shared" ca="1" si="32"/>
        <v>61.823617339312406</v>
      </c>
      <c r="P61" s="52">
        <f t="shared" ca="1" si="33"/>
        <v>61.823617339312406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71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937300</v>
      </c>
      <c r="M66" s="155">
        <f t="shared" ca="1" si="39"/>
        <v>450350</v>
      </c>
      <c r="N66" s="155">
        <f t="shared" ca="1" si="39"/>
        <v>73784.2</v>
      </c>
      <c r="O66" s="155">
        <f t="shared" ref="O66:O74" ca="1" si="40">IF(L66&gt;0,N66*100/L66,0)</f>
        <v>7.8719940253920839</v>
      </c>
      <c r="P66" s="155">
        <f t="shared" ref="P66:P74" ca="1" si="41">IF(M66&gt;0,N66*100/M66,0)</f>
        <v>16.383745975352504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937300</v>
      </c>
      <c r="M68" s="93">
        <f t="shared" ca="1" si="42"/>
        <v>450350</v>
      </c>
      <c r="N68" s="93">
        <f t="shared" ca="1" si="42"/>
        <v>73784.2</v>
      </c>
      <c r="O68" s="93">
        <f t="shared" ca="1" si="40"/>
        <v>7.8719940253920839</v>
      </c>
      <c r="P68" s="93">
        <f t="shared" ca="1" si="41"/>
        <v>16.383745975352504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937300</v>
      </c>
      <c r="M69" s="496">
        <f t="shared" ca="1" si="43"/>
        <v>450350</v>
      </c>
      <c r="N69" s="496">
        <f t="shared" ca="1" si="43"/>
        <v>73784.2</v>
      </c>
      <c r="O69" s="496">
        <f t="shared" ca="1" si="40"/>
        <v>7.8719940253920839</v>
      </c>
      <c r="P69" s="496">
        <f t="shared" ca="1" si="41"/>
        <v>16.383745975352504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IFERROR(__xludf.DUMMYFUNCTION("IMPORTRANGE(""https://docs.google.com/spreadsheets/d/1MeEWN-I1oV_STSDYn1IFDPWt_1FKiwhDph83XaGc0o0/edit?usp=sharing"",""งบพรบ!AL44"")"),450350)</f>
        <v>450350</v>
      </c>
      <c r="N71" s="93">
        <f ca="1">IFERROR(__xludf.DUMMYFUNCTION("IMPORTRANGE(""https://docs.google.com/spreadsheets/d/1MeEWN-I1oV_STSDYn1IFDPWt_1FKiwhDph83XaGc0o0/edit?usp=sharing"",""งบพรบ!AN44"")"),73784.2)</f>
        <v>73784.2</v>
      </c>
      <c r="O71" s="93">
        <f t="shared" ca="1" si="40"/>
        <v>7.8719940253920839</v>
      </c>
      <c r="P71" s="93">
        <f t="shared" ca="1" si="41"/>
        <v>16.383745975352504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71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38860</v>
      </c>
      <c r="M88" s="155">
        <f t="shared" ca="1" si="49"/>
        <v>32760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38860</v>
      </c>
      <c r="M90" s="93">
        <f t="shared" ca="1" si="52"/>
        <v>32760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38860</v>
      </c>
      <c r="M91" s="496">
        <f t="shared" ca="1" si="53"/>
        <v>32760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IFERROR(__xludf.DUMMYFUNCTION("IMPORTRANGE(""https://docs.google.com/spreadsheets/d/1MeEWN-I1oV_STSDYn1IFDPWt_1FKiwhDph83XaGc0o0/edit?usp=sharing"",""งบพรบ!AV44"")"),32760)</f>
        <v>32760</v>
      </c>
      <c r="N93" s="93">
        <f ca="1">IFERROR(__xludf.DUMMYFUNCTION("IMPORTRANGE(""https://docs.google.com/spreadsheets/d/1MeEWN-I1oV_STSDYn1IFDPWt_1FKiwhDph83XaGc0o0/edit?usp=sharing"",""งบพรบ!AX44"")"),0)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IFERROR(__xludf.DUMMYFUNCTION("IMPORTRANGE(""https://docs.google.com/spreadsheets/d/1QqKyyYR6Q21VydFLVH3TRQUabQu_ym0Zz7PgGX0-kHA/edit?usp=sharing"",""แผน!K44"")"),45)</f>
        <v>45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IFERROR(__xludf.DUMMYFUNCTION("IMPORTRANGE(""https://docs.google.com/spreadsheets/d/1QqKyyYR6Q21VydFLVH3TRQUabQu_ym0Zz7PgGX0-kHA/edit?usp=sharing"",""แผน!L44"")"),15)</f>
        <v>15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IFERROR(__xludf.DUMMYFUNCTION("IMPORTRANGE(""https://docs.google.com/spreadsheets/d/1QqKyyYR6Q21VydFLVH3TRQUabQu_ym0Zz7PgGX0-kHA/edit?usp=sharing"",""แผน!M44"")"),0)</f>
        <v>0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IFERROR(__xludf.DUMMYFUNCTION("IMPORTRANGE(""https://docs.google.com/spreadsheets/d/1QqKyyYR6Q21VydFLVH3TRQUabQu_ym0Zz7PgGX0-kHA/edit?usp=sharing"",""แผน!N44"")"),45)</f>
        <v>45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IFERROR(__xludf.DUMMYFUNCTION("IMPORTRANGE(""https://docs.google.com/spreadsheets/d/1QqKyyYR6Q21VydFLVH3TRQUabQu_ym0Zz7PgGX0-kHA/edit?usp=sharing"",""แผน!O44"")"),15)</f>
        <v>15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IFERROR(__xludf.DUMMYFUNCTION("IMPORTRANGE(""https://docs.google.com/spreadsheets/d/1QqKyyYR6Q21VydFLVH3TRQUabQu_ym0Zz7PgGX0-kHA/edit?usp=sharing"",""แผน!O44"")"),15)</f>
        <v>15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IFERROR(__xludf.DUMMYFUNCTION("IMPORTRANGE(""https://docs.google.com/spreadsheets/d/1QqKyyYR6Q21VydFLVH3TRQUabQu_ym0Zz7PgGX0-kHA/edit?usp=sharing"",""แผน!P44"")"),0)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IFERROR(__xludf.DUMMYFUNCTION("IMPORTRANGE(""https://docs.google.com/spreadsheets/d/1QqKyyYR6Q21VydFLVH3TRQUabQu_ym0Zz7PgGX0-kHA/edit?usp=sharing"",""แผน!P44"")"),0)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IFERROR(__xludf.DUMMYFUNCTION("IMPORTRANGE(""https://docs.google.com/spreadsheets/d/1QqKyyYR6Q21VydFLVH3TRQUabQu_ym0Zz7PgGX0-kHA/edit?usp=sharing"",""แผน!Q44"")"),0)</f>
        <v>0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IFERROR(__xludf.DUMMYFUNCTION("IMPORTRANGE(""https://docs.google.com/spreadsheets/d/1QqKyyYR6Q21VydFLVH3TRQUabQu_ym0Zz7PgGX0-kHA/edit?usp=sharing"",""แผน!Q44"")"),0)</f>
        <v>0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IFERROR(__xludf.DUMMYFUNCTION("IMPORTRANGE(""https://docs.google.com/spreadsheets/d/1QqKyyYR6Q21VydFLVH3TRQUabQu_ym0Zz7PgGX0-kHA/edit?usp=sharing"",""แผน!U44"")"),0)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IFERROR(__xludf.DUMMYFUNCTION("IMPORTRANGE(""https://docs.google.com/spreadsheets/d/1QqKyyYR6Q21VydFLVH3TRQUabQu_ym0Zz7PgGX0-kHA/edit?usp=sharing"",""แผน!V44"")"),0)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IFERROR(__xludf.DUMMYFUNCTION("IMPORTRANGE(""https://docs.google.com/spreadsheets/d/1QqKyyYR6Q21VydFLVH3TRQUabQu_ym0Zz7PgGX0-kHA/edit?usp=sharing"",""แผน!W44"")"),0)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IFERROR(__xludf.DUMMYFUNCTION("IMPORTRANGE(""https://docs.google.com/spreadsheets/d/1MeEWN-I1oV_STSDYn1IFDPWt_1FKiwhDph83XaGc0o0/edit?usp=sharing"",""งบพรบ!BZ44"")"),0)</f>
        <v>0</v>
      </c>
      <c r="N154" s="93">
        <f ca="1">IFERROR(__xludf.DUMMYFUNCTION("IMPORTRANGE(""https://docs.google.com/spreadsheets/d/1MeEWN-I1oV_STSDYn1IFDPWt_1FKiwhDph83XaGc0o0/edit?usp=sharing"",""งบพรบ!CB44"")"),0)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IFERROR(__xludf.DUMMYFUNCTION("IMPORTRANGE(""https://docs.google.com/spreadsheets/d/1QqKyyYR6Q21VydFLVH3TRQUabQu_ym0Zz7PgGX0-kHA/edit?usp=sharing"",""แผน!X44"")"),0)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22055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IFERROR(__xludf.DUMMYFUNCTION("IMPORTRANGE(""https://docs.google.com/spreadsheets/d/1MeEWN-I1oV_STSDYn1IFDPWt_1FKiwhDph83XaGc0o0/edit?usp=sharing"",""งบพรบ!CJ44"")"),22055)</f>
        <v>22055</v>
      </c>
      <c r="N170" s="93">
        <f ca="1">IFERROR(__xludf.DUMMYFUNCTION("IMPORTRANGE(""https://docs.google.com/spreadsheets/d/1MeEWN-I1oV_STSDYn1IFDPWt_1FKiwhDph83XaGc0o0/edit?usp=sharing"",""งบพรบ!CL44"")"),22055)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IFERROR(__xludf.DUMMYFUNCTION("IMPORTRANGE(""https://docs.google.com/spreadsheets/d/1QqKyyYR6Q21VydFLVH3TRQUabQu_ym0Zz7PgGX0-kHA/edit?usp=sharing"",""แผน!Y44"")"),11)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1">L182+L183</f>
        <v>78500</v>
      </c>
      <c r="M181" s="155">
        <f t="shared" ca="1" si="91"/>
        <v>48000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78500</v>
      </c>
      <c r="M183" s="93">
        <f t="shared" ca="1" si="94"/>
        <v>48000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78500</v>
      </c>
      <c r="M184" s="496">
        <f t="shared" ca="1" si="95"/>
        <v>48000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IFERROR(__xludf.DUMMYFUNCTION("IMPORTRANGE(""https://docs.google.com/spreadsheets/d/1MeEWN-I1oV_STSDYn1IFDPWt_1FKiwhDph83XaGc0o0/edit?usp=sharing"",""งบพรบ!CT44"")"),48000)</f>
        <v>48000</v>
      </c>
      <c r="N186" s="93">
        <f ca="1">IFERROR(__xludf.DUMMYFUNCTION("IMPORTRANGE(""https://docs.google.com/spreadsheets/d/1MeEWN-I1oV_STSDYn1IFDPWt_1FKiwhDph83XaGc0o0/edit?usp=sharing"",""งบพรบ!CV44"")"),0)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IFERROR(__xludf.DUMMYFUNCTION("IMPORTRANGE(""https://docs.google.com/spreadsheets/d/1QqKyyYR6Q21VydFLVH3TRQUabQu_ym0Zz7PgGX0-kHA/edit?usp=sharing"",""แผน!AC44"")"),4)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4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IFERROR(__xludf.DUMMYFUNCTION("IMPORTRANGE(""https://docs.google.com/spreadsheets/d/1QqKyyYR6Q21VydFLVH3TRQUabQu_ym0Zz7PgGX0-kHA/edit?usp=sharing"",""แผน!AE44"")"),4000)</f>
        <v>4000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IFERROR(__xludf.DUMMYFUNCTION("IMPORTRANGE(""https://docs.google.com/spreadsheets/d/1QqKyyYR6Q21VydFLVH3TRQUabQu_ym0Zz7PgGX0-kHA/edit?usp=sharing"",""แผน!AF44"")"),32000)</f>
        <v>32000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IFERROR(__xludf.DUMMYFUNCTION("IMPORTRANGE(""https://docs.google.com/spreadsheets/d/1QqKyyYR6Q21VydFLVH3TRQUabQu_ym0Zz7PgGX0-kHA/edit?usp=sharing"",""แผน!AG44"")"),16000)</f>
        <v>16000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IFERROR(__xludf.DUMMYFUNCTION("IMPORTRANGE(""https://docs.google.com/spreadsheets/d/1QqKyyYR6Q21VydFLVH3TRQUabQu_ym0Zz7PgGX0-kHA/edit?usp=sharing"",""แผน!AH44"")"),0)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IFERROR(__xludf.DUMMYFUNCTION("IMPORTRANGE(""https://docs.google.com/spreadsheets/d/1QqKyyYR6Q21VydFLVH3TRQUabQu_ym0Zz7PgGX0-kHA/edit?usp=sharing"",""แผน!AI44"")"),4)</f>
        <v>4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4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1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IFERROR(__xludf.DUMMYFUNCTION("IMPORTRANGE(""https://docs.google.com/spreadsheets/d/1QqKyyYR6Q21VydFLVH3TRQUabQu_ym0Zz7PgGX0-kHA/edit?usp=sharing"",""แผน!AK44"")"),1000)</f>
        <v>1000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IFERROR(__xludf.DUMMYFUNCTION("IMPORTRANGE(""https://docs.google.com/spreadsheets/d/1QqKyyYR6Q21VydFLVH3TRQUabQu_ym0Zz7PgGX0-kHA/edit?usp=sharing"",""แผน!AL44"")"),5000)</f>
        <v>5000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IFERROR(__xludf.DUMMYFUNCTION("IMPORTRANGE(""https://docs.google.com/spreadsheets/d/1QqKyyYR6Q21VydFLVH3TRQUabQu_ym0Zz7PgGX0-kHA/edit?usp=sharing"",""แผน!AM44"")"),8000)</f>
        <v>8000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IFERROR(__xludf.DUMMYFUNCTION("IMPORTRANGE(""https://docs.google.com/spreadsheets/d/1QqKyyYR6Q21VydFLVH3TRQUabQu_ym0Zz7PgGX0-kHA/edit?usp=sharing"",""แผน!AN44"")"),1)</f>
        <v>1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IFERROR(__xludf.DUMMYFUNCTION("IMPORTRANGE(""https://docs.google.com/spreadsheets/d/1QqKyyYR6Q21VydFLVH3TRQUabQu_ym0Zz7PgGX0-kHA/edit?usp=sharing"",""แผน!AN44"")"),1)</f>
        <v>1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IFERROR(__xludf.DUMMYFUNCTION("IMPORTRANGE(""https://docs.google.com/spreadsheets/d/1QqKyyYR6Q21VydFLVH3TRQUabQu_ym0Zz7PgGX0-kHA/edit?usp=sharing"",""แผน!AP44"")"),3000)</f>
        <v>3000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IFERROR(__xludf.DUMMYFUNCTION("IMPORTRANGE(""https://docs.google.com/spreadsheets/d/1QqKyyYR6Q21VydFLVH3TRQUabQu_ym0Zz7PgGX0-kHA/edit?usp=sharing"",""แผน!AQ44"")"),3500)</f>
        <v>3500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IFERROR(__xludf.DUMMYFUNCTION("IMPORTRANGE(""https://docs.google.com/spreadsheets/d/1QqKyyYR6Q21VydFLVH3TRQUabQu_ym0Zz7PgGX0-kHA/edit?usp=sharing"",""แผน!AR44"")"),0)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IFERROR(__xludf.DUMMYFUNCTION("IMPORTRANGE(""https://docs.google.com/spreadsheets/d/1QqKyyYR6Q21VydFLVH3TRQUabQu_ym0Zz7PgGX0-kHA/edit?usp=sharing"",""แผน!AT44"")"),10000)</f>
        <v>10000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IFERROR(__xludf.DUMMYFUNCTION("IMPORTRANGE(""https://docs.google.com/spreadsheets/d/1QqKyyYR6Q21VydFLVH3TRQUabQu_ym0Zz7PgGX0-kHA/edit?usp=sharing"",""แผน!AT44"")"),10000)</f>
        <v>10000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IFERROR(__xludf.DUMMYFUNCTION("IMPORTRANGE(""https://docs.google.com/spreadsheets/d/1QqKyyYR6Q21VydFLVH3TRQUabQu_ym0Zz7PgGX0-kHA/edit?usp=sharing"",""แผน!AS44"")"),0)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IFERROR(__xludf.DUMMYFUNCTION("IMPORTRANGE(""https://docs.google.com/spreadsheets/d/1QqKyyYR6Q21VydFLVH3TRQUabQu_ym0Zz7PgGX0-kHA/edit?usp=sharing"",""แผน!AV44"")"),0)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IFERROR(__xludf.DUMMYFUNCTION("IMPORTRANGE(""https://docs.google.com/spreadsheets/d/1QqKyyYR6Q21VydFLVH3TRQUabQu_ym0Zz7PgGX0-kHA/edit?usp=sharing"",""แผน!AW44"")"),0)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IFERROR(__xludf.DUMMYFUNCTION("IMPORTRANGE(""https://docs.google.com/spreadsheets/d/1QqKyyYR6Q21VydFLVH3TRQUabQu_ym0Zz7PgGX0-kHA/edit?usp=sharing"",""แผน!AX44"")"),0)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IFERROR(__xludf.DUMMYFUNCTION("IMPORTRANGE(""https://docs.google.com/spreadsheets/d/1QqKyyYR6Q21VydFLVH3TRQUabQu_ym0Zz7PgGX0-kHA/edit?usp=sharing"",""แผน!AY44"")"),0)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IFERROR(__xludf.DUMMYFUNCTION("IMPORTRANGE(""https://docs.google.com/spreadsheets/d/1QqKyyYR6Q21VydFLVH3TRQUabQu_ym0Zz7PgGX0-kHA/edit?usp=sharing"",""แผน!BE44"")"),0)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IFERROR(__xludf.DUMMYFUNCTION("IMPORTRANGE(""https://docs.google.com/spreadsheets/d/1QqKyyYR6Q21VydFLVH3TRQUabQu_ym0Zz7PgGX0-kHA/edit?usp=sharing"",""แผน!AZ44"")"),0)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IFERROR(__xludf.DUMMYFUNCTION("IMPORTRANGE(""https://docs.google.com/spreadsheets/d/1QqKyyYR6Q21VydFLVH3TRQUabQu_ym0Zz7PgGX0-kHA/edit?usp=sharing"",""แผน!BA44"")"),0)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IFERROR(__xludf.DUMMYFUNCTION("IMPORTRANGE(""https://docs.google.com/spreadsheets/d/1QqKyyYR6Q21VydFLVH3TRQUabQu_ym0Zz7PgGX0-kHA/edit?usp=sharing"",""แผน!BB44"")"),0)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IFERROR(__xludf.DUMMYFUNCTION("IMPORTRANGE(""https://docs.google.com/spreadsheets/d/1QqKyyYR6Q21VydFLVH3TRQUabQu_ym0Zz7PgGX0-kHA/edit?usp=sharing"",""แผน!BC44"")"),0)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IFERROR(__xludf.DUMMYFUNCTION("IMPORTRANGE(""https://docs.google.com/spreadsheets/d/1QqKyyYR6Q21VydFLVH3TRQUabQu_ym0Zz7PgGX0-kHA/edit?usp=sharing"",""แผน!BF44"")"),0)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4400</v>
      </c>
      <c r="O261" s="155">
        <f t="shared" ref="O261:O269" ca="1" si="116">IF(L261&gt;0,N261*100/L261,0)</f>
        <v>16.356877323420075</v>
      </c>
      <c r="P261" s="155">
        <f t="shared" ref="P261:P269" ca="1" si="117">IF(M261&gt;0,N261*100/M261,0)</f>
        <v>18.410041841004183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4400</v>
      </c>
      <c r="O263" s="93">
        <f t="shared" ca="1" si="116"/>
        <v>16.356877323420075</v>
      </c>
      <c r="P263" s="93">
        <f t="shared" ca="1" si="117"/>
        <v>18.410041841004183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23900</v>
      </c>
      <c r="N264" s="496">
        <f t="shared" ca="1" si="119"/>
        <v>4400</v>
      </c>
      <c r="O264" s="496">
        <f t="shared" ca="1" si="116"/>
        <v>16.356877323420075</v>
      </c>
      <c r="P264" s="496">
        <f t="shared" ca="1" si="117"/>
        <v>18.410041841004183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IFERROR(__xludf.DUMMYFUNCTION("IMPORTRANGE(""https://docs.google.com/spreadsheets/d/1MeEWN-I1oV_STSDYn1IFDPWt_1FKiwhDph83XaGc0o0/edit?usp=sharing"",""งบพรบ!DD44"")"),23900)</f>
        <v>23900</v>
      </c>
      <c r="N266" s="93">
        <f ca="1">IFERROR(__xludf.DUMMYFUNCTION("IMPORTRANGE(""https://docs.google.com/spreadsheets/d/1MeEWN-I1oV_STSDYn1IFDPWt_1FKiwhDph83XaGc0o0/edit?usp=sharing"",""งบพรบ!DF44"")"),4400)</f>
        <v>4400</v>
      </c>
      <c r="O266" s="93">
        <f t="shared" ca="1" si="116"/>
        <v>16.356877323420075</v>
      </c>
      <c r="P266" s="93">
        <f t="shared" ca="1" si="117"/>
        <v>18.410041841004183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IFERROR(__xludf.DUMMYFUNCTION("IMPORTRANGE(""https://docs.google.com/spreadsheets/d/1QqKyyYR6Q21VydFLVH3TRQUabQu_ym0Zz7PgGX0-kHA/edit?usp=sharing"",""แผน!EA44"")"),22)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10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23">I287</f>
        <v>100</v>
      </c>
      <c r="J276" s="405">
        <f t="shared" si="123"/>
        <v>0</v>
      </c>
      <c r="K276" s="406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41010</v>
      </c>
      <c r="M277" s="155">
        <f t="shared" ca="1" si="124"/>
        <v>16820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41010</v>
      </c>
      <c r="M279" s="93">
        <f t="shared" ca="1" si="127"/>
        <v>16820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41010</v>
      </c>
      <c r="M280" s="496">
        <f t="shared" ca="1" si="128"/>
        <v>16820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IFERROR(__xludf.DUMMYFUNCTION("IMPORTRANGE(""https://docs.google.com/spreadsheets/d/1MeEWN-I1oV_STSDYn1IFDPWt_1FKiwhDph83XaGc0o0/edit?usp=sharing"",""งบพรบ!DN44"")"),16820)</f>
        <v>16820</v>
      </c>
      <c r="N282" s="93">
        <f ca="1">IFERROR(__xludf.DUMMYFUNCTION("IMPORTRANGE(""https://docs.google.com/spreadsheets/d/1MeEWN-I1oV_STSDYn1IFDPWt_1FKiwhDph83XaGc0o0/edit?usp=sharing"",""งบพรบ!DP44"")"),0)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IFERROR(__xludf.DUMMYFUNCTION("IMPORTRANGE(""https://docs.google.com/spreadsheets/d/1QqKyyYR6Q21VydFLVH3TRQUabQu_ym0Zz7PgGX0-kHA/edit?usp=sharing"",""แผน!EC44"")"),100)</f>
        <v>100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IFERROR(__xludf.DUMMYFUNCTION("IMPORTRANGE(""https://docs.google.com/spreadsheets/d/1QqKyyYR6Q21VydFLVH3TRQUabQu_ym0Zz7PgGX0-kHA/edit?usp=sharing"",""แผน!EB44"")"),10)</f>
        <v>10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IFERROR(__xludf.DUMMYFUNCTION("IMPORTRANGE(""https://docs.google.com/spreadsheets/d/1QqKyyYR6Q21VydFLVH3TRQUabQu_ym0Zz7PgGX0-kHA/edit?usp=sharing"",""แผน!EB44"")"),10)</f>
        <v>10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20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1480</v>
      </c>
      <c r="O298" s="155">
        <f t="shared" ref="O298:O306" ca="1" si="135">IF(L298&gt;0,N298*100/L298,0)</f>
        <v>1.796116504854369</v>
      </c>
      <c r="P298" s="155">
        <f t="shared" ref="P298:P306" ca="1" si="136">IF(M298&gt;0,N298*100/M298,0)</f>
        <v>3.0130293159609121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1480</v>
      </c>
      <c r="O300" s="93">
        <f t="shared" ca="1" si="135"/>
        <v>1.796116504854369</v>
      </c>
      <c r="P300" s="93">
        <f t="shared" ca="1" si="136"/>
        <v>3.0130293159609121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82400</v>
      </c>
      <c r="M301" s="496">
        <f t="shared" ca="1" si="138"/>
        <v>49120</v>
      </c>
      <c r="N301" s="496">
        <f t="shared" ca="1" si="138"/>
        <v>1480</v>
      </c>
      <c r="O301" s="496">
        <f t="shared" ca="1" si="135"/>
        <v>1.796116504854369</v>
      </c>
      <c r="P301" s="496">
        <f t="shared" ca="1" si="136"/>
        <v>3.0130293159609121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IFERROR(__xludf.DUMMYFUNCTION("IMPORTRANGE(""https://docs.google.com/spreadsheets/d/1MeEWN-I1oV_STSDYn1IFDPWt_1FKiwhDph83XaGc0o0/edit?usp=sharing"",""งบพรบ!DX44"")"),49120)</f>
        <v>49120</v>
      </c>
      <c r="N303" s="93">
        <f ca="1">IFERROR(__xludf.DUMMYFUNCTION("IMPORTRANGE(""https://docs.google.com/spreadsheets/d/1MeEWN-I1oV_STSDYn1IFDPWt_1FKiwhDph83XaGc0o0/edit?usp=sharing"",""งบพรบ!DZ44"")"),1480)</f>
        <v>1480</v>
      </c>
      <c r="O303" s="93">
        <f t="shared" ca="1" si="135"/>
        <v>1.796116504854369</v>
      </c>
      <c r="P303" s="93">
        <f t="shared" ca="1" si="136"/>
        <v>3.0130293159609121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IFERROR(__xludf.DUMMYFUNCTION("IMPORTRANGE(""https://docs.google.com/spreadsheets/d/1QqKyyYR6Q21VydFLVH3TRQUabQu_ym0Zz7PgGX0-kHA/edit?usp=sharing"",""แผน!ED44"")"),20)</f>
        <v>20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IFERROR(__xludf.DUMMYFUNCTION("IMPORTRANGE(""https://docs.google.com/spreadsheets/d/1QqKyyYR6Q21VydFLVH3TRQUabQu_ym0Zz7PgGX0-kHA/edit?usp=sharing"",""แผน!ED44"")"),20)</f>
        <v>20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IFERROR(__xludf.DUMMYFUNCTION("IMPORTRANGE(""https://docs.google.com/spreadsheets/d/1QqKyyYR6Q21VydFLVH3TRQUabQu_ym0Zz7PgGX0-kHA/edit?usp=sharing"",""แผน!ED44"")"),20)</f>
        <v>20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IFERROR(__xludf.DUMMYFUNCTION("IMPORTRANGE(""https://docs.google.com/spreadsheets/d/1QqKyyYR6Q21VydFLVH3TRQUabQu_ym0Zz7PgGX0-kHA/edit?usp=sharing"",""แผน!EE44"")"),4)</f>
        <v>4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IFERROR(__xludf.DUMMYFUNCTION("IMPORTRANGE(""https://docs.google.com/spreadsheets/d/1QqKyyYR6Q21VydFLVH3TRQUabQu_ym0Zz7PgGX0-kHA/edit?usp=sharing"",""แผน!EF44"")"),0)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IFERROR(__xludf.DUMMYFUNCTION("IMPORTRANGE(""https://docs.google.com/spreadsheets/d/1QqKyyYR6Q21VydFLVH3TRQUabQu_ym0Zz7PgGX0-kHA/edit?usp=sharing"",""แผน!EG44"")"),6700)</f>
        <v>6700</v>
      </c>
      <c r="J327" s="443">
        <f ca="1">J338+J341+J342+J343</f>
        <v>1744</v>
      </c>
      <c r="K327" s="444">
        <f ca="1">IF(I327&gt;0,J327*100/I327,0)</f>
        <v>26.029850746268657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186000</v>
      </c>
      <c r="M328" s="155">
        <f t="shared" ca="1" si="148"/>
        <v>93000</v>
      </c>
      <c r="N328" s="155">
        <f t="shared" ca="1" si="148"/>
        <v>19576.66</v>
      </c>
      <c r="O328" s="155">
        <f t="shared" ref="O328:O336" ca="1" si="149">IF(L328&gt;0,N328*100/L328,0)</f>
        <v>10.525086021505377</v>
      </c>
      <c r="P328" s="155">
        <f t="shared" ref="P328:P336" ca="1" si="150">IF(M328&gt;0,N328*100/M328,0)</f>
        <v>21.050172043010754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186000</v>
      </c>
      <c r="M330" s="93">
        <f t="shared" ca="1" si="151"/>
        <v>93000</v>
      </c>
      <c r="N330" s="93">
        <f t="shared" ca="1" si="151"/>
        <v>19576.66</v>
      </c>
      <c r="O330" s="93">
        <f t="shared" ca="1" si="149"/>
        <v>10.525086021505377</v>
      </c>
      <c r="P330" s="93">
        <f t="shared" ca="1" si="150"/>
        <v>21.050172043010754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186000</v>
      </c>
      <c r="M331" s="496">
        <f t="shared" ca="1" si="152"/>
        <v>93000</v>
      </c>
      <c r="N331" s="496">
        <f t="shared" ca="1" si="152"/>
        <v>19576.66</v>
      </c>
      <c r="O331" s="496">
        <f t="shared" ca="1" si="149"/>
        <v>10.525086021505377</v>
      </c>
      <c r="P331" s="496">
        <f t="shared" ca="1" si="150"/>
        <v>21.050172043010754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IFERROR(__xludf.DUMMYFUNCTION("IMPORTRANGE(""https://docs.google.com/spreadsheets/d/1MeEWN-I1oV_STSDYn1IFDPWt_1FKiwhDph83XaGc0o0/edit?usp=sharing"",""งบพรบ!ER44"")"),93000)</f>
        <v>93000</v>
      </c>
      <c r="N333" s="93">
        <f ca="1">IFERROR(__xludf.DUMMYFUNCTION("IMPORTRANGE(""https://docs.google.com/spreadsheets/d/1MeEWN-I1oV_STSDYn1IFDPWt_1FKiwhDph83XaGc0o0/edit?usp=sharing"",""งบพรบ!ET44"")"),19576.66)</f>
        <v>19576.66</v>
      </c>
      <c r="O333" s="93">
        <f t="shared" ca="1" si="149"/>
        <v>10.525086021505377</v>
      </c>
      <c r="P333" s="93">
        <f t="shared" ca="1" si="150"/>
        <v>21.050172043010754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IFERROR(__xludf.DUMMYFUNCTION("IMPORTRANGE(""https://docs.google.com/spreadsheets/d/1MeEWN-I1oV_STSDYn1IFDPWt_1FKiwhDph83XaGc0o0/edit?usp=sharing"",""งบพรบ!ES44"")"),0)</f>
        <v>0</v>
      </c>
      <c r="N336" s="93">
        <f ca="1">IFERROR(__xludf.DUMMYFUNCTION("IMPORTRANGE(""https://docs.google.com/spreadsheets/d/1MeEWN-I1oV_STSDYn1IFDPWt_1FKiwhDph83XaGc0o0/edit?usp=sharing"",""งบพรบ!EU44"")"),0)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IFERROR(__xludf.DUMMYFUNCTION("IMPORTRANGE(""https://docs.google.com/spreadsheets/d/1QqKyyYR6Q21VydFLVH3TRQUabQu_ym0Zz7PgGX0-kHA/edit?usp=sharing"",""แผน!EG44"")"),6700)</f>
        <v>6700</v>
      </c>
      <c r="J338" s="269">
        <f ca="1">IFERROR(__xludf.DUMMYFUNCTION("IMPORTRANGE(""https://docs.google.com/spreadsheets/d/1kVcqe37tkHyjCSG3S0O1AXqVkqjo8mSIZil3BcpIysc/edit?usp=sharing"",""ศูนย์!D44"")"),1361)</f>
        <v>1361</v>
      </c>
      <c r="K338" s="496">
        <f ca="1">IF(I338&gt;0,J338*100/I338,0)</f>
        <v>20.313432835820894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IFERROR(__xludf.DUMMYFUNCTION("IMPORTRANGE(""https://docs.google.com/spreadsheets/d/1QqKyyYR6Q21VydFLVH3TRQUabQu_ym0Zz7PgGX0-kHA/edit?usp=sharing"",""แผน!EH44"")"),9)</f>
        <v>9</v>
      </c>
      <c r="J340" s="269">
        <f ca="1">IFERROR(__xludf.DUMMYFUNCTION("IMPORTRANGE(""https://docs.google.com/spreadsheets/d/1kVcqe37tkHyjCSG3S0O1AXqVkqjo8mSIZil3BcpIysc/edit?usp=sharing"",""ศูนย์!E44"")"),4)</f>
        <v>4</v>
      </c>
      <c r="K340" s="496">
        <f ca="1">IF(I340&gt;0,J340*100/I340,0)</f>
        <v>44.444444444444443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IFERROR(__xludf.DUMMYFUNCTION("IMPORTRANGE(""https://docs.google.com/spreadsheets/d/1kVcqe37tkHyjCSG3S0O1AXqVkqjo8mSIZil3BcpIysc/edit?usp=sharing"",""ศูนย์!F44"")"),369)</f>
        <v>369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IFERROR(__xludf.DUMMYFUNCTION("IMPORTRANGE(""https://docs.google.com/spreadsheets/d/1kVcqe37tkHyjCSG3S0O1AXqVkqjo8mSIZil3BcpIysc/edit?usp=sharing"",""ศูนย์!G44"")"),1)</f>
        <v>1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IFERROR(__xludf.DUMMYFUNCTION("IMPORTRANGE(""https://docs.google.com/spreadsheets/d/1kVcqe37tkHyjCSG3S0O1AXqVkqjo8mSIZil3BcpIysc/edit?usp=sharing"",""ศูนย์!H44"")"),13)</f>
        <v>13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2297570</v>
      </c>
      <c r="M345" s="155">
        <f t="shared" ca="1" si="154"/>
        <v>1211990</v>
      </c>
      <c r="N345" s="155">
        <f t="shared" ca="1" si="154"/>
        <v>374160.70999999996</v>
      </c>
      <c r="O345" s="155">
        <f t="shared" ref="O345:O353" ca="1" si="155">IF(L345&gt;0,N345*100/L345,0)</f>
        <v>16.285062479053956</v>
      </c>
      <c r="P345" s="155">
        <f t="shared" ref="P345:P353" ca="1" si="156">IF(M345&gt;0,N345*100/M345,0)</f>
        <v>30.871600425746088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2297570</v>
      </c>
      <c r="M347" s="93">
        <f t="shared" ca="1" si="157"/>
        <v>1211990</v>
      </c>
      <c r="N347" s="93">
        <f t="shared" ca="1" si="157"/>
        <v>374160.70999999996</v>
      </c>
      <c r="O347" s="93">
        <f t="shared" ca="1" si="155"/>
        <v>16.285062479053956</v>
      </c>
      <c r="P347" s="93">
        <f t="shared" ca="1" si="156"/>
        <v>30.871600425746088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2171170</v>
      </c>
      <c r="M348" s="496">
        <f t="shared" ca="1" si="158"/>
        <v>1085590</v>
      </c>
      <c r="N348" s="496">
        <f t="shared" ca="1" si="158"/>
        <v>248460.71</v>
      </c>
      <c r="O348" s="496">
        <f t="shared" ca="1" si="155"/>
        <v>11.443632235154318</v>
      </c>
      <c r="P348" s="496">
        <f t="shared" ca="1" si="156"/>
        <v>22.887159056365665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IFERROR(__xludf.DUMMYFUNCTION("IMPORTRANGE(""https://docs.google.com/spreadsheets/d/1MeEWN-I1oV_STSDYn1IFDPWt_1FKiwhDph83XaGc0o0/edit?usp=sharing"",""งบพรบ!FB44"")"),1085590)</f>
        <v>1085590</v>
      </c>
      <c r="N350" s="93">
        <f ca="1">IFERROR(__xludf.DUMMYFUNCTION("IMPORTRANGE(""https://docs.google.com/spreadsheets/d/1MeEWN-I1oV_STSDYn1IFDPWt_1FKiwhDph83XaGc0o0/edit?usp=sharing"",""งบพรบ!FD44"")"),248460.71)</f>
        <v>248460.71</v>
      </c>
      <c r="O350" s="93">
        <f t="shared" ca="1" si="155"/>
        <v>11.443632235154318</v>
      </c>
      <c r="P350" s="93">
        <f t="shared" ca="1" si="156"/>
        <v>22.887159056365665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126400</v>
      </c>
      <c r="M351" s="496">
        <f t="shared" ca="1" si="159"/>
        <v>126400</v>
      </c>
      <c r="N351" s="496">
        <f t="shared" ca="1" si="159"/>
        <v>125700</v>
      </c>
      <c r="O351" s="496">
        <f t="shared" ca="1" si="155"/>
        <v>99.446202531645568</v>
      </c>
      <c r="P351" s="496">
        <f t="shared" ca="1" si="156"/>
        <v>99.446202531645568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IFERROR(__xludf.DUMMYFUNCTION("IMPORTRANGE(""https://docs.google.com/spreadsheets/d/1MeEWN-I1oV_STSDYn1IFDPWt_1FKiwhDph83XaGc0o0/edit?usp=sharing"",""งบพรบ!FC44"")"),126400)</f>
        <v>126400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5"/>
        <v>99.446202531645568</v>
      </c>
      <c r="P353" s="93">
        <f t="shared" ca="1" si="156"/>
        <v>99.446202531645568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IFERROR(__xludf.DUMMYFUNCTION("IMPORTRANGE(""https://docs.google.com/spreadsheets/d/1QqKyyYR6Q21VydFLVH3TRQUabQu_ym0Zz7PgGX0-kHA/edit?usp=sharing"",""แผน!EP44"")"),1112)</f>
        <v>1112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IFERROR(__xludf.DUMMYFUNCTION("IMPORTRANGE(""https://docs.google.com/spreadsheets/d/1XWAQStnk-4SwqDmLtmXYiTMKHgktTP8We1SCoS47DrQ/edit?usp=sharing"",""จัดที่ดิน!W44"")"),73)</f>
        <v>73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IFERROR(__xludf.DUMMYFUNCTION("IMPORTRANGE(""https://docs.google.com/spreadsheets/d/1QqKyyYR6Q21VydFLVH3TRQUabQu_ym0Zz7PgGX0-kHA/edit?usp=sharing"",""แผน!EO44"")"),11120)</f>
        <v>11120</v>
      </c>
      <c r="J359" s="269">
        <f ca="1">IFERROR(__xludf.DUMMYFUNCTION("IMPORTRANGE(""https://docs.google.com/spreadsheets/d/1XWAQStnk-4SwqDmLtmXYiTMKHgktTP8We1SCoS47DrQ/edit?usp=sharing"",""จัดที่ดิน!X44"")"),406.5)</f>
        <v>406.5</v>
      </c>
      <c r="K359" s="496">
        <f t="shared" ca="1" si="160"/>
        <v>3.6555755395683454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IFERROR(__xludf.DUMMYFUNCTION("IMPORTRANGE(""https://docs.google.com/spreadsheets/d/1QqKyyYR6Q21VydFLVH3TRQUabQu_ym0Zz7PgGX0-kHA/edit?usp=sharing"",""แผน!EP44"")"),1112)</f>
        <v>1112</v>
      </c>
      <c r="J360" s="269">
        <f ca="1">IFERROR(__xludf.DUMMYFUNCTION("IMPORTRANGE(""https://docs.google.com/spreadsheets/d/1XWAQStnk-4SwqDmLtmXYiTMKHgktTP8We1SCoS47DrQ/edit?usp=sharing"",""จัดที่ดิน!Y44"")"),64)</f>
        <v>64</v>
      </c>
      <c r="K360" s="496">
        <f t="shared" ca="1" si="160"/>
        <v>5.7553956834532372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IFERROR(__xludf.DUMMYFUNCTION("IMPORTRANGE(""https://docs.google.com/spreadsheets/d/1XWAQStnk-4SwqDmLtmXYiTMKHgktTP8We1SCoS47DrQ/edit?usp=sharing"",""จัดที่ดิน!Z44"")"),359.76)</f>
        <v>359.76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IFERROR(__xludf.DUMMYFUNCTION("IMPORTRANGE(""https://docs.google.com/spreadsheets/d/1QqKyyYR6Q21VydFLVH3TRQUabQu_ym0Zz7PgGX0-kHA/edit?usp=sharing"",""แผน!EP44"")"),1112)</f>
        <v>1112</v>
      </c>
      <c r="J362" s="269">
        <f ca="1">IFERROR(__xludf.DUMMYFUNCTION("IMPORTRANGE(""https://docs.google.com/spreadsheets/d/1XWAQStnk-4SwqDmLtmXYiTMKHgktTP8We1SCoS47DrQ/edit?usp=sharing"",""จัดที่ดิน!AA44"")"),0)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IFERROR(__xludf.DUMMYFUNCTION("IMPORTRANGE(""https://docs.google.com/spreadsheets/d/1XWAQStnk-4SwqDmLtmXYiTMKHgktTP8We1SCoS47DrQ/edit?usp=sharing"",""จัดที่ดิน!AB44"")"),0)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2112</v>
      </c>
      <c r="J364" s="477">
        <f t="shared" ca="1" si="161"/>
        <v>140</v>
      </c>
      <c r="K364" s="478">
        <f t="shared" ca="1" si="160"/>
        <v>6.6287878787878789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IFERROR(__xludf.DUMMYFUNCTION("IMPORTRANGE(""https://docs.google.com/spreadsheets/d/1QqKyyYR6Q21VydFLVH3TRQUabQu_ym0Zz7PgGX0-kHA/edit?usp=sharing"",""แผน!EJ44"")"),312)</f>
        <v>312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IFERROR(__xludf.DUMMYFUNCTION("IMPORTRANGE(""https://docs.google.com/spreadsheets/d/1XWAQStnk-4SwqDmLtmXYiTMKHgktTP8We1SCoS47DrQ/edit?usp=sharing"",""จัดที่ดิน!E44"")"),8)</f>
        <v>8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IFERROR(__xludf.DUMMYFUNCTION("IMPORTRANGE(""https://docs.google.com/spreadsheets/d/1QqKyyYR6Q21VydFLVH3TRQUabQu_ym0Zz7PgGX0-kHA/edit?usp=sharing"",""แผน!EI44"")"),3120)</f>
        <v>3120</v>
      </c>
      <c r="J369" s="269">
        <f ca="1">IFERROR(__xludf.DUMMYFUNCTION("IMPORTRANGE(""https://docs.google.com/spreadsheets/d/1XWAQStnk-4SwqDmLtmXYiTMKHgktTP8We1SCoS47DrQ/edit?usp=sharing"",""จัดที่ดิน!F44"")"),43.38)</f>
        <v>43.38</v>
      </c>
      <c r="K369" s="496">
        <f t="shared" ca="1" si="162"/>
        <v>1.3903846153846153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IFERROR(__xludf.DUMMYFUNCTION("IMPORTRANGE(""https://docs.google.com/spreadsheets/d/1QqKyyYR6Q21VydFLVH3TRQUabQu_ym0Zz7PgGX0-kHA/edit?usp=sharing"",""แผน!EJ44"")"),312)</f>
        <v>312</v>
      </c>
      <c r="J370" s="269">
        <f ca="1">IFERROR(__xludf.DUMMYFUNCTION("IMPORTRANGE(""https://docs.google.com/spreadsheets/d/1XWAQStnk-4SwqDmLtmXYiTMKHgktTP8We1SCoS47DrQ/edit?usp=sharing"",""จัดที่ดิน!G44"")"),0)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IFERROR(__xludf.DUMMYFUNCTION("IMPORTRANGE(""https://docs.google.com/spreadsheets/d/1XWAQStnk-4SwqDmLtmXYiTMKHgktTP8We1SCoS47DrQ/edit?usp=sharing"",""จัดที่ดิน!H44"")"),0)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IFERROR(__xludf.DUMMYFUNCTION("IMPORTRANGE(""https://docs.google.com/spreadsheets/d/1QqKyyYR6Q21VydFLVH3TRQUabQu_ym0Zz7PgGX0-kHA/edit?usp=sharing"",""แผน!EJ44"")"),312)</f>
        <v>312</v>
      </c>
      <c r="J372" s="269">
        <f ca="1">IFERROR(__xludf.DUMMYFUNCTION("IMPORTRANGE(""https://docs.google.com/spreadsheets/d/1XWAQStnk-4SwqDmLtmXYiTMKHgktTP8We1SCoS47DrQ/edit?usp=sharing"",""จัดที่ดิน!I44"")"),0)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IFERROR(__xludf.DUMMYFUNCTION("IMPORTRANGE(""https://docs.google.com/spreadsheets/d/1XWAQStnk-4SwqDmLtmXYiTMKHgktTP8We1SCoS47DrQ/edit?usp=sharing"",""จัดที่ดิน!J44"")"),0)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IFERROR(__xludf.DUMMYFUNCTION("IMPORTRANGE(""https://docs.google.com/spreadsheets/d/1QqKyyYR6Q21VydFLVH3TRQUabQu_ym0Zz7PgGX0-kHA/edit?usp=sharing"",""แผน!EU44"")"),1800)</f>
        <v>1800</v>
      </c>
      <c r="J374" s="489">
        <f ca="1">J381</f>
        <v>140</v>
      </c>
      <c r="K374" s="490">
        <f t="shared" ca="1" si="162"/>
        <v>7.7777777777777777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IFERROR(__xludf.DUMMYFUNCTION("IMPORTRANGE(""https://docs.google.com/spreadsheets/d/1XWAQStnk-4SwqDmLtmXYiTMKHgktTP8We1SCoS47DrQ/edit?usp=sharing"",""จัดที่ดิน!AH44"")"),65)</f>
        <v>65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IFERROR(__xludf.DUMMYFUNCTION("IMPORTRANGE(""https://docs.google.com/spreadsheets/d/1QqKyyYR6Q21VydFLVH3TRQUabQu_ym0Zz7PgGX0-kHA/edit?usp=sharing"",""แผน!ET44"")"),8000)</f>
        <v>8000</v>
      </c>
      <c r="J378" s="269">
        <f ca="1">IFERROR(__xludf.DUMMYFUNCTION("IMPORTRANGE(""https://docs.google.com/spreadsheets/d/1XWAQStnk-4SwqDmLtmXYiTMKHgktTP8We1SCoS47DrQ/edit?usp=sharing"",""จัดที่ดิน!AI44"")"),363.12)</f>
        <v>363.12</v>
      </c>
      <c r="K378" s="496">
        <f t="shared" ca="1" si="163"/>
        <v>4.5389999999999997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IFERROR(__xludf.DUMMYFUNCTION("IMPORTRANGE(""https://docs.google.com/spreadsheets/d/1QqKyyYR6Q21VydFLVH3TRQUabQu_ym0Zz7PgGX0-kHA/edit?usp=sharing"",""แผน!EU44"")"),1800)</f>
        <v>1800</v>
      </c>
      <c r="J379" s="269">
        <f ca="1">IFERROR(__xludf.DUMMYFUNCTION("IMPORTRANGE(""https://docs.google.com/spreadsheets/d/1XWAQStnk-4SwqDmLtmXYiTMKHgktTP8We1SCoS47DrQ/edit?usp=sharing"",""จัดที่ดิน!AJ44"")"),206)</f>
        <v>206</v>
      </c>
      <c r="K379" s="496">
        <f t="shared" ca="1" si="163"/>
        <v>11.444444444444445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IFERROR(__xludf.DUMMYFUNCTION("IMPORTRANGE(""https://docs.google.com/spreadsheets/d/1XWAQStnk-4SwqDmLtmXYiTMKHgktTP8We1SCoS47DrQ/edit?usp=sharing"",""จัดที่ดิน!AK44"")"),1819.19)</f>
        <v>1819.19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IFERROR(__xludf.DUMMYFUNCTION("IMPORTRANGE(""https://docs.google.com/spreadsheets/d/1QqKyyYR6Q21VydFLVH3TRQUabQu_ym0Zz7PgGX0-kHA/edit?usp=sharing"",""แผน!EU44"")"),1800)</f>
        <v>1800</v>
      </c>
      <c r="J381" s="269">
        <f ca="1">IFERROR(__xludf.DUMMYFUNCTION("IMPORTRANGE(""https://docs.google.com/spreadsheets/d/1XWAQStnk-4SwqDmLtmXYiTMKHgktTP8We1SCoS47DrQ/edit?usp=sharing"",""จัดที่ดิน!AL44"")"),140)</f>
        <v>140</v>
      </c>
      <c r="K381" s="496">
        <f t="shared" ca="1" si="163"/>
        <v>7.7777777777777777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IFERROR(__xludf.DUMMYFUNCTION("IMPORTRANGE(""https://docs.google.com/spreadsheets/d/1XWAQStnk-4SwqDmLtmXYiTMKHgktTP8We1SCoS47DrQ/edit?usp=sharing"",""จัดที่ดิน!AM44"")"),1395.25)</f>
        <v>1395.25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IFERROR(__xludf.DUMMYFUNCTION("IMPORTRANGE(""https://docs.google.com/spreadsheets/d/1QqKyyYR6Q21VydFLVH3TRQUabQu_ym0Zz7PgGX0-kHA/edit?usp=sharing"",""แผน!EW44"")"),150)</f>
        <v>150</v>
      </c>
      <c r="J385" s="499">
        <f ca="1">IFERROR(__xludf.DUMMYFUNCTION("IMPORTRANGE(""https://docs.google.com/spreadsheets/d/1XWAQStnk-4SwqDmLtmXYiTMKHgktTP8We1SCoS47DrQ/edit?usp=sharing"",""จัดที่ดิน!AP44"")"),0)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2163431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55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163360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163360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163360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55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IFERROR(__xludf.DUMMYFUNCTION("IMPORTRANGE(""https://docs.google.com/spreadsheets/d/1QqKyyYR6Q21VydFLVH3TRQUabQu_ym0Zz7PgGX0-kHA/edit?usp=sharing"",""แผน!FC44"")"),55)</f>
        <v>55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IFERROR(__xludf.DUMMYFUNCTION("IMPORTRANGE(""https://docs.google.com/spreadsheets/d/1QqKyyYR6Q21VydFLVH3TRQUabQu_ym0Zz7PgGX0-kHA/edit?usp=sharing"",""แผน!FD44"")"),0)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IFERROR(__xludf.DUMMYFUNCTION("IMPORTRANGE(""https://docs.google.com/spreadsheets/d/1QqKyyYR6Q21VydFLVH3TRQUabQu_ym0Zz7PgGX0-kHA/edit?usp=sharing"",""แผน!FE44"")"),0)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IFERROR(__xludf.DUMMYFUNCTION("IMPORTRANGE(""https://docs.google.com/spreadsheets/d/1QqKyyYR6Q21VydFLVH3TRQUabQu_ym0Zz7PgGX0-kHA/edit?usp=sharing"",""แผน!FF44"")"),55)</f>
        <v>55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IFERROR(__xludf.DUMMYFUNCTION("IMPORTRANGE(""https://docs.google.com/spreadsheets/d/1QqKyyYR6Q21VydFLVH3TRQUabQu_ym0Zz7PgGX0-kHA/edit?usp=sharing"",""แผน!FG44"")"),1)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IFERROR(__xludf.DUMMYFUNCTION("IMPORTRANGE(""https://docs.google.com/spreadsheets/d/1QqKyyYR6Q21VydFLVH3TRQUabQu_ym0Zz7PgGX0-kHA/edit?usp=sharing"",""แผน!FH44"")"),0)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40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200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403680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403680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403680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IFERROR(__xludf.DUMMYFUNCTION("IMPORTRANGE(""https://docs.google.com/spreadsheets/d/1QqKyyYR6Q21VydFLVH3TRQUabQu_ym0Zz7PgGX0-kHA/edit?usp=sharing"",""แผน!FN44"")"),40)</f>
        <v>40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IFERROR(__xludf.DUMMYFUNCTION("IMPORTRANGE(""https://docs.google.com/spreadsheets/d/1QqKyyYR6Q21VydFLVH3TRQUabQu_ym0Zz7PgGX0-kHA/edit?usp=sharing"",""แผน!FO44"")"),200)</f>
        <v>200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IFERROR(__xludf.DUMMYFUNCTION("IMPORTRANGE(""https://docs.google.com/spreadsheets/d/1QqKyyYR6Q21VydFLVH3TRQUabQu_ym0Zz7PgGX0-kHA/edit?usp=sharing"",""แผน!FO44"")"),200)</f>
        <v>200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IFERROR(__xludf.DUMMYFUNCTION("IMPORTRANGE(""https://docs.google.com/spreadsheets/d/1QqKyyYR6Q21VydFLVH3TRQUabQu_ym0Zz7PgGX0-kHA/edit?usp=sharing"",""แผน!FN44"")"),40)</f>
        <v>40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IFERROR(__xludf.DUMMYFUNCTION("IMPORTRANGE(""https://docs.google.com/spreadsheets/d/1QqKyyYR6Q21VydFLVH3TRQUabQu_ym0Zz7PgGX0-kHA/edit?usp=sharing"",""แผน!FX44"")"),51)</f>
        <v>51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IFERROR(__xludf.DUMMYFUNCTION("IMPORTRANGE(""https://docs.google.com/spreadsheets/d/1QqKyyYR6Q21VydFLVH3TRQUabQu_ym0Zz7PgGX0-kHA/edit?usp=sharing"",""แผน!FW44"")"),500)</f>
        <v>500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403983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403983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403983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IFERROR(__xludf.DUMMYFUNCTION("IMPORTRANGE(""https://docs.google.com/spreadsheets/d/1QqKyyYR6Q21VydFLVH3TRQUabQu_ym0Zz7PgGX0-kHA/edit?usp=sharing"",""แผน!FS44"")"),403983)</f>
        <v>403983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IFERROR(__xludf.DUMMYFUNCTION("IMPORTRANGE(""https://docs.google.com/spreadsheets/d/1QqKyyYR6Q21VydFLVH3TRQUabQu_ym0Zz7PgGX0-kHA/edit?usp=sharing"",""แผน!FY44"")"),450)</f>
        <v>450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IFERROR(__xludf.DUMMYFUNCTION("IMPORTRANGE(""https://docs.google.com/spreadsheets/d/1QqKyyYR6Q21VydFLVH3TRQUabQu_ym0Zz7PgGX0-kHA/edit?usp=sharing"",""แผน!FZ44"")"),45)</f>
        <v>45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IFERROR(__xludf.DUMMYFUNCTION("IMPORTRANGE(""https://docs.google.com/spreadsheets/d/1QqKyyYR6Q21VydFLVH3TRQUabQu_ym0Zz7PgGX0-kHA/edit?usp=sharing"",""แผน!GA44"")"),50)</f>
        <v>50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IFERROR(__xludf.DUMMYFUNCTION("IMPORTRANGE(""https://docs.google.com/spreadsheets/d/1QqKyyYR6Q21VydFLVH3TRQUabQu_ym0Zz7PgGX0-kHA/edit?usp=sharing"",""แผน!GB44"")"),5)</f>
        <v>5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IFERROR(__xludf.DUMMYFUNCTION("IMPORTRANGE(""https://docs.google.com/spreadsheets/d/1QqKyyYR6Q21VydFLVH3TRQUabQu_ym0Zz7PgGX0-kHA/edit?usp=sharing"",""แผน!GC44"")"),1)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IFERROR(__xludf.DUMMYFUNCTION("IMPORTRANGE(""https://docs.google.com/spreadsheets/d/1QqKyyYR6Q21VydFLVH3TRQUabQu_ym0Zz7PgGX0-kHA/edit?usp=sharing"",""แผน!FY44"")"),450)</f>
        <v>450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IFERROR(__xludf.DUMMYFUNCTION("IMPORTRANGE(""https://docs.google.com/spreadsheets/d/1QqKyyYR6Q21VydFLVH3TRQUabQu_ym0Zz7PgGX0-kHA/edit?usp=sharing"",""แผน!GA44"")"),50)</f>
        <v>50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IFERROR(__xludf.DUMMYFUNCTION("IMPORTRANGE(""https://docs.google.com/spreadsheets/d/1QqKyyYR6Q21VydFLVH3TRQUabQu_ym0Zz7PgGX0-kHA/edit?usp=sharing"",""แผน!GU44"")"),0)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IFERROR(__xludf.DUMMYFUNCTION("IMPORTRANGE(""https://docs.google.com/spreadsheets/d/1QqKyyYR6Q21VydFLVH3TRQUabQu_ym0Zz7PgGX0-kHA/edit?usp=sharing"",""แผน!GV44"")"),0)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IFERROR(__xludf.DUMMYFUNCTION("IMPORTRANGE(""https://docs.google.com/spreadsheets/d/1QqKyyYR6Q21VydFLVH3TRQUabQu_ym0Zz7PgGX0-kHA/edit?usp=sharing"",""แผน!GW44"")"),0)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IFERROR(__xludf.DUMMYFUNCTION("IMPORTRANGE(""https://docs.google.com/spreadsheets/d/1QqKyyYR6Q21VydFLVH3TRQUabQu_ym0Zz7PgGX0-kHA/edit?usp=sharing"",""แผน!GX44"")"),0)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IFERROR(__xludf.DUMMYFUNCTION("IMPORTRANGE(""https://docs.google.com/spreadsheets/d/1QqKyyYR6Q21VydFLVH3TRQUabQu_ym0Zz7PgGX0-kHA/edit?usp=sharing"",""แผน!GY44"")"),0)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IFERROR(__xludf.DUMMYFUNCTION("IMPORTRANGE(""https://docs.google.com/spreadsheets/d/1QqKyyYR6Q21VydFLVH3TRQUabQu_ym0Zz7PgGX0-kHA/edit?usp=sharing"",""แผน!GZ44"")"),0)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11002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644263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644263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644263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IFERROR(__xludf.DUMMYFUNCTION("IMPORTRANGE(""https://docs.google.com/spreadsheets/d/1QqKyyYR6Q21VydFLVH3TRQUabQu_ym0Zz7PgGX0-kHA/edit?usp=sharing"",""แผน!HB44"")"),644263)</f>
        <v>644263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11002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IFERROR(__xludf.DUMMYFUNCTION("IMPORTRANGE(""https://docs.google.com/spreadsheets/d/1QqKyyYR6Q21VydFLVH3TRQUabQu_ym0Zz7PgGX0-kHA/edit?usp=sharing"",""แผน!HH44"")"),11002)</f>
        <v>11002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IFERROR(__xludf.DUMMYFUNCTION("IMPORTRANGE(""https://docs.google.com/spreadsheets/d/1QqKyyYR6Q21VydFLVH3TRQUabQu_ym0Zz7PgGX0-kHA/edit?usp=sharing"",""แผน!HH44"")"),11002)</f>
        <v>11002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IFERROR(__xludf.DUMMYFUNCTION("IMPORTRANGE(""https://docs.google.com/spreadsheets/d/1QqKyyYR6Q21VydFLVH3TRQUabQu_ym0Zz7PgGX0-kHA/edit?usp=sharing"",""แผน!HH44"")"),11002)</f>
        <v>11002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2572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IFERROR(__xludf.DUMMYFUNCTION("IMPORTRANGE(""https://docs.google.com/spreadsheets/d/1QqKyyYR6Q21VydFLVH3TRQUabQu_ym0Zz7PgGX0-kHA/edit?usp=sharing"",""แผน!HJ44"")"),2572)</f>
        <v>2572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IFERROR(__xludf.DUMMYFUNCTION("IMPORTRANGE(""https://docs.google.com/spreadsheets/d/1QqKyyYR6Q21VydFLVH3TRQUabQu_ym0Zz7PgGX0-kHA/edit?usp=sharing"",""แผน!HI44"")"),560)</f>
        <v>560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IFERROR(__xludf.DUMMYFUNCTION("IMPORTRANGE(""https://docs.google.com/spreadsheets/d/1QqKyyYR6Q21VydFLVH3TRQUabQu_ym0Zz7PgGX0-kHA/edit?usp=sharing"",""แผน!HL44"")"),0)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IFERROR(__xludf.DUMMYFUNCTION("IMPORTRANGE(""https://docs.google.com/spreadsheets/d/1QqKyyYR6Q21VydFLVH3TRQUabQu_ym0Zz7PgGX0-kHA/edit?usp=sharing"",""แผน!HK44"")"),0)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350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532545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532545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532545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IFERROR(__xludf.DUMMYFUNCTION("IMPORTRANGE(""https://docs.google.com/spreadsheets/d/1QqKyyYR6Q21VydFLVH3TRQUabQu_ym0Zz7PgGX0-kHA/edit?usp=sharing"",""แผน!HR44"")"),0)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IFERROR(__xludf.DUMMYFUNCTION("IMPORTRANGE(""https://docs.google.com/spreadsheets/d/1QqKyyYR6Q21VydFLVH3TRQUabQu_ym0Zz7PgGX0-kHA/edit?usp=sharing"",""แผน!HR44"")"),0)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IFERROR(__xludf.DUMMYFUNCTION("IMPORTRANGE(""https://docs.google.com/spreadsheets/d/1XWAQStnk-4SwqDmLtmXYiTMKHgktTP8We1SCoS47DrQ/edit?usp=sharing"",""จัดที่ดิน!AS44"")"),2)</f>
        <v>2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IFERROR(__xludf.DUMMYFUNCTION("IMPORTRANGE(""https://docs.google.com/spreadsheets/d/1XWAQStnk-4SwqDmLtmXYiTMKHgktTP8We1SCoS47DrQ/edit?usp=sharing"",""จัดที่ดิน!AT44"")"),0.9)</f>
        <v>0.9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IFERROR(__xludf.DUMMYFUNCTION("IMPORTRANGE(""https://docs.google.com/spreadsheets/d/1QqKyyYR6Q21VydFLVH3TRQUabQu_ym0Zz7PgGX0-kHA/edit?usp=sharing"",""แผน!HS44"")"),350)</f>
        <v>350</v>
      </c>
      <c r="J647" s="269">
        <f ca="1">IFERROR(__xludf.DUMMYFUNCTION("IMPORTRANGE(""https://docs.google.com/spreadsheets/d/1XWAQStnk-4SwqDmLtmXYiTMKHgktTP8We1SCoS47DrQ/edit?usp=sharing"",""จัดที่ดิน!AU44"")"),0)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IFERROR(__xludf.DUMMYFUNCTION("IMPORTRANGE(""https://docs.google.com/spreadsheets/d/1XWAQStnk-4SwqDmLtmXYiTMKHgktTP8We1SCoS47DrQ/edit?usp=sharing"",""จัดที่ดิน!AV44"")"),0)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IFERROR(__xludf.DUMMYFUNCTION("IMPORTRANGE(""https://docs.google.com/spreadsheets/d/1QqKyyYR6Q21VydFLVH3TRQUabQu_ym0Zz7PgGX0-kHA/edit?usp=sharing"",""แผน!HS44"")"),350)</f>
        <v>350</v>
      </c>
      <c r="J649" s="269">
        <f ca="1">IFERROR(__xludf.DUMMYFUNCTION("IMPORTRANGE(""https://docs.google.com/spreadsheets/d/1XWAQStnk-4SwqDmLtmXYiTMKHgktTP8We1SCoS47DrQ/edit?usp=sharing"",""จัดที่ดิน!AW44"")"),0)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IFERROR(__xludf.DUMMYFUNCTION("IMPORTRANGE(""https://docs.google.com/spreadsheets/d/1XWAQStnk-4SwqDmLtmXYiTMKHgktTP8We1SCoS47DrQ/edit?usp=sharing"",""จัดที่ดิน!AX44"")"),0)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IFERROR(__xludf.DUMMYFUNCTION("IMPORTRANGE(""https://docs.google.com/spreadsheets/d/1QqKyyYR6Q21VydFLVH3TRQUabQu_ym0Zz7PgGX0-kHA/edit?usp=sharing"",""แผน!HS44"")"),350)</f>
        <v>350</v>
      </c>
      <c r="J651" s="269">
        <f ca="1">IFERROR(__xludf.DUMMYFUNCTION("IMPORTRANGE(""https://docs.google.com/spreadsheets/d/1XWAQStnk-4SwqDmLtmXYiTMKHgktTP8We1SCoS47DrQ/edit?usp=sharing"",""จัดที่ดิน!AY44"")"),0)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IFERROR(__xludf.DUMMYFUNCTION("IMPORTRANGE(""https://docs.google.com/spreadsheets/d/1XWAQStnk-4SwqDmLtmXYiTMKHgktTP8We1SCoS47DrQ/edit?usp=sharing"",""จัดที่ดิน!AZ44"")"),0)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100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15600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15600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15600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IFERROR(__xludf.DUMMYFUNCTION("IMPORTRANGE(""https://docs.google.com/spreadsheets/d/1QqKyyYR6Q21VydFLVH3TRQUabQu_ym0Zz7PgGX0-kHA/edit?usp=sharing"",""แผน!IA44"")"),100)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IFERROR(__xludf.DUMMYFUNCTION("IMPORTRANGE(""https://docs.google.com/spreadsheets/d/1QqKyyYR6Q21VydFLVH3TRQUabQu_ym0Zz7PgGX0-kHA/edit?usp=sharing"",""แผน!HZ44"")"),6)</f>
        <v>6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IFERROR(__xludf.DUMMYFUNCTION("IMPORTRANGE(""https://docs.google.com/spreadsheets/d/1QqKyyYR6Q21VydFLVH3TRQUabQu_ym0Zz7PgGX0-kHA/edit?usp=sharing"",""แผน!HZ44"")"),6)</f>
        <v>6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IFERROR(__xludf.DUMMYFUNCTION("IMPORTRANGE(""https://docs.google.com/spreadsheets/d/1QqKyyYR6Q21VydFLVH3TRQUabQu_ym0Zz7PgGX0-kHA/edit?usp=sharing"",""แผน!IB44"")"),0)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IFERROR(__xludf.DUMMYFUNCTION("IMPORTRANGE(""https://docs.google.com/spreadsheets/d/1QqKyyYR6Q21VydFLVH3TRQUabQu_ym0Zz7PgGX0-kHA/edit?usp=sharing"",""แผน!IC44"")"),0)</f>
        <v>0</v>
      </c>
      <c r="J699" s="269">
        <f ca="1">IFERROR(__xludf.DUMMYFUNCTION("IMPORTRANGE(""https://docs.google.com/spreadsheets/d/1XWAQStnk-4SwqDmLtmXYiTMKHgktTP8We1SCoS47DrQ/edit?usp=sharing"",""จัดที่ดิน!BB44"")"),0)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IFERROR(__xludf.DUMMYFUNCTION("IMPORTRANGE(""https://docs.google.com/spreadsheets/d/1QqKyyYR6Q21VydFLVH3TRQUabQu_ym0Zz7PgGX0-kHA/edit?usp=sharing"",""แผน!ID44"")"),0)</f>
        <v>0</v>
      </c>
      <c r="J700" s="269">
        <f ca="1">IFERROR(__xludf.DUMMYFUNCTION("IMPORTRANGE(""https://docs.google.com/spreadsheets/d/1XWAQStnk-4SwqDmLtmXYiTMKHgktTP8We1SCoS47DrQ/edit?usp=sharing"",""จัดที่ดิน!BD44"")"),0)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IFERROR(__xludf.DUMMYFUNCTION("IMPORTRANGE(""https://docs.google.com/spreadsheets/d/1QqKyyYR6Q21VydFLVH3TRQUabQu_ym0Zz7PgGX0-kHA/edit?usp=sharing"",""แผน!IE44"")"),0)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IFERROR(__xludf.DUMMYFUNCTION("IMPORTRANGE(""https://docs.google.com/spreadsheets/d/1QqKyyYR6Q21VydFLVH3TRQUabQu_ym0Zz7PgGX0-kHA/edit?usp=sharing"",""แผน!IF44"")"),0)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IFERROR(__xludf.DUMMYFUNCTION("IMPORTRANGE(""https://docs.google.com/spreadsheets/d/1QqKyyYR6Q21VydFLVH3TRQUabQu_ym0Zz7PgGX0-kHA/edit?usp=sharing"",""แผน!IG44"")"),0)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IFERROR(__xludf.DUMMYFUNCTION("IMPORTRANGE(""https://docs.google.com/spreadsheets/d/1QqKyyYR6Q21VydFLVH3TRQUabQu_ym0Zz7PgGX0-kHA/edit?usp=sharing"",""แผน!IH44"")"),0)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IFERROR(__xludf.DUMMYFUNCTION("IMPORTRANGE(""https://docs.google.com/spreadsheets/d/1XWAQStnk-4SwqDmLtmXYiTMKHgktTP8We1SCoS47DrQ/edit?usp=sharing"",""จัดที่ดิน!BF44"")"),0)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IFERROR(__xludf.DUMMYFUNCTION("IMPORTRANGE(""https://docs.google.com/spreadsheets/d/1XWAQStnk-4SwqDmLtmXYiTMKHgktTP8We1SCoS47DrQ/edit?usp=sharing"",""จัดที่ดิน!BG44"")"),0)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IFERROR(__xludf.DUMMYFUNCTION("IMPORTRANGE(""https://docs.google.com/spreadsheets/d/1QqKyyYR6Q21VydFLVH3TRQUabQu_ym0Zz7PgGX0-kHA/edit?usp=sharing"",""แผน!II44"")"),0)</f>
        <v>0</v>
      </c>
      <c r="J720" s="269">
        <f ca="1">IFERROR(__xludf.DUMMYFUNCTION("IMPORTRANGE(""https://docs.google.com/spreadsheets/d/1XWAQStnk-4SwqDmLtmXYiTMKHgktTP8We1SCoS47DrQ/edit?usp=sharing"",""จัดที่ดิน!BH44"")"),0)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IFERROR(__xludf.DUMMYFUNCTION("IMPORTRANGE(""https://docs.google.com/spreadsheets/d/1QqKyyYR6Q21VydFLVH3TRQUabQu_ym0Zz7PgGX0-kHA/edit?usp=sharing"",""แผน!IJ44"")"),0)</f>
        <v>0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IFERROR(__xludf.DUMMYFUNCTION("IMPORTRANGE(""https://docs.google.com/spreadsheets/d/1QqKyyYR6Q21VydFLVH3TRQUabQu_ym0Zz7PgGX0-kHA/edit?usp=sharing"",""แผน!IK44"")"),0)</f>
        <v>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IFERROR(__xludf.DUMMYFUNCTION("IMPORTRANGE(""https://docs.google.com/spreadsheets/d/1QqKyyYR6Q21VydFLVH3TRQUabQu_ym0Zz7PgGX0-kHA/edit?usp=sharing"",""แผน!IL44"")"),0)</f>
        <v>0</v>
      </c>
      <c r="J723" s="269">
        <f ca="1">IFERROR(__xludf.DUMMYFUNCTION("IMPORTRANGE(""https://docs.google.com/spreadsheets/d/1XWAQStnk-4SwqDmLtmXYiTMKHgktTP8We1SCoS47DrQ/edit?usp=sharing"",""จัดที่ดิน!BM44"")"),0)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IFERROR(__xludf.DUMMYFUNCTION("IMPORTRANGE(""https://docs.google.com/spreadsheets/d/1XWAQStnk-4SwqDmLtmXYiTMKHgktTP8We1SCoS47DrQ/edit?usp=sharing"",""จัดที่ดิน!BN44"")"),0)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IFERROR(__xludf.DUMMYFUNCTION("IMPORTRANGE(""https://docs.google.com/spreadsheets/d/1QqKyyYR6Q21VydFLVH3TRQUabQu_ym0Zz7PgGX0-kHA/edit?usp=sharing"",""แผน!IM44"")"),0)</f>
        <v>0</v>
      </c>
      <c r="J725" s="269">
        <f ca="1">IFERROR(__xludf.DUMMYFUNCTION("IMPORTRANGE(""https://docs.google.com/spreadsheets/d/1XWAQStnk-4SwqDmLtmXYiTMKHgktTP8We1SCoS47DrQ/edit?usp=sharing"",""จัดที่ดิน!BO44"")"),0)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IFERROR(__xludf.DUMMYFUNCTION("IMPORTRANGE(""https://docs.google.com/spreadsheets/d/1QqKyyYR6Q21VydFLVH3TRQUabQu_ym0Zz7PgGX0-kHA/edit?usp=sharing"",""แผน!IN44"")"),0)</f>
        <v>0</v>
      </c>
      <c r="J726" s="269">
        <f ca="1">IFERROR(__xludf.DUMMYFUNCTION("IMPORTRANGE(""https://docs.google.com/spreadsheets/d/1XWAQStnk-4SwqDmLtmXYiTMKHgktTP8We1SCoS47DrQ/edit?usp=sharing"",""จัดที่ดิน!BR44"")"),0)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IFERROR(__xludf.DUMMYFUNCTION("IMPORTRANGE(""https://docs.google.com/spreadsheets/d/1XWAQStnk-4SwqDmLtmXYiTMKHgktTP8We1SCoS47DrQ/edit?usp=sharing"",""จัดที่ดิน!BS44"")"),0)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IFERROR(__xludf.DUMMYFUNCTION("IMPORTRANGE(""https://docs.google.com/spreadsheets/d/1QqKyyYR6Q21VydFLVH3TRQUabQu_ym0Zz7PgGX0-kHA/edit?usp=sharing"",""แผน!IO44"")"),0)</f>
        <v>0</v>
      </c>
      <c r="J728" s="269">
        <f ca="1">IFERROR(__xludf.DUMMYFUNCTION("IMPORTRANGE(""https://docs.google.com/spreadsheets/d/1XWAQStnk-4SwqDmLtmXYiTMKHgktTP8We1SCoS47DrQ/edit?usp=sharing"",""จัดที่ดิน!BT44"")"),0)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IFERROR(__xludf.DUMMYFUNCTION("IMPORTRANGE(""https://docs.google.com/spreadsheets/d/1QqKyyYR6Q21VydFLVH3TRQUabQu_ym0Zz7PgGX0-kHA/edit?usp=sharing"",""แผน!IP44"")"),0)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IFERROR(__xludf.DUMMYFUNCTION("IMPORTRANGE(""https://docs.google.com/spreadsheets/d/1MaWodYyGHDf7siQLGxnXhG4mBNTNIuy296niS2xXulU/edit?usp=sharing"",""RTK!I44"")"),0)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69">
        <f ca="1">IFERROR(__xludf.DUMMYFUNCTION("IMPORTRANGE(""https://docs.google.com/spreadsheets/d/19vJNZY_5yjcGF2XGBMNZRCAIB0Kwfpjp8YEOfu-bneM/edit?usp=sharing"",""งานกองทุน!F44"")"),0)</f>
        <v>0</v>
      </c>
      <c r="K821" s="496">
        <f t="shared" ref="K821:K828" ca="1" si="334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IFERROR(__xludf.DUMMYFUNCTION("IMPORTRANGE(""https://docs.google.com/spreadsheets/d/19vJNZY_5yjcGF2XGBMNZRCAIB0Kwfpjp8YEOfu-bneM/edit?usp=sharing"",""งานกองทุน!C44"")"),595)</f>
        <v>595</v>
      </c>
      <c r="J822" s="269">
        <f ca="1">IFERROR(__xludf.DUMMYFUNCTION("IMPORTRANGE(""https://docs.google.com/spreadsheets/d/19vJNZY_5yjcGF2XGBMNZRCAIB0Kwfpjp8YEOfu-bneM/edit?usp=sharing"",""งานกองทุน!E44"")"),0)</f>
        <v>0</v>
      </c>
      <c r="K822" s="496">
        <f t="shared" ca="1" si="334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69">
        <f ca="1">IFERROR(__xludf.DUMMYFUNCTION("IMPORTRANGE(""https://docs.google.com/spreadsheets/d/19vJNZY_5yjcGF2XGBMNZRCAIB0Kwfpjp8YEOfu-bneM/edit?usp=sharing"",""งานกองทุน!K44"")"),66776.77)</f>
        <v>66776.77</v>
      </c>
      <c r="K823" s="496">
        <f t="shared" ca="1" si="334"/>
        <v>0.30748211638859585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IFERROR(__xludf.DUMMYFUNCTION("IMPORTRANGE(""https://docs.google.com/spreadsheets/d/19vJNZY_5yjcGF2XGBMNZRCAIB0Kwfpjp8YEOfu-bneM/edit?usp=sharing"",""งานกองทุน!H44"")"),1227)</f>
        <v>1227</v>
      </c>
      <c r="J824" s="269">
        <f ca="1">IFERROR(__xludf.DUMMYFUNCTION("IMPORTRANGE(""https://docs.google.com/spreadsheets/d/19vJNZY_5yjcGF2XGBMNZRCAIB0Kwfpjp8YEOfu-bneM/edit?usp=sharing"",""งานกองทุน!J44"")"),12)</f>
        <v>12</v>
      </c>
      <c r="K824" s="496">
        <f t="shared" ca="1" si="334"/>
        <v>0.97799511002444983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IFERROR(__xludf.DUMMYFUNCTION("IMPORTRANGE(""https://docs.google.com/spreadsheets/d/19vJNZY_5yjcGF2XGBMNZRCAIB0Kwfpjp8YEOfu-bneM/edit?usp=sharing"",""งานกองทุน!N44"")"),2010099.83)</f>
        <v>2010099.83</v>
      </c>
      <c r="J825" s="269">
        <f ca="1">IFERROR(__xludf.DUMMYFUNCTION("IMPORTRANGE(""https://docs.google.com/spreadsheets/d/19vJNZY_5yjcGF2XGBMNZRCAIB0Kwfpjp8YEOfu-bneM/edit?usp=sharing"",""งานกองทุน!P44"")"),14208.05)</f>
        <v>14208.05</v>
      </c>
      <c r="K825" s="496">
        <f t="shared" ca="1" si="334"/>
        <v>0.70683305316233969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IFERROR(__xludf.DUMMYFUNCTION("IMPORTRANGE(""https://docs.google.com/spreadsheets/d/19vJNZY_5yjcGF2XGBMNZRCAIB0Kwfpjp8YEOfu-bneM/edit?usp=sharing"",""งานกองทุน!M44"")"),101)</f>
        <v>101</v>
      </c>
      <c r="J826" s="269">
        <f ca="1">IFERROR(__xludf.DUMMYFUNCTION("IMPORTRANGE(""https://docs.google.com/spreadsheets/d/19vJNZY_5yjcGF2XGBMNZRCAIB0Kwfpjp8YEOfu-bneM/edit?usp=sharing"",""งานกองทุน!O44"")"),1)</f>
        <v>1</v>
      </c>
      <c r="K826" s="496">
        <f t="shared" ca="1" si="334"/>
        <v>0.99009900990099009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IFERROR(__xludf.DUMMYFUNCTION("IMPORTRANGE(""https://docs.google.com/spreadsheets/d/19vJNZY_5yjcGF2XGBMNZRCAIB0Kwfpjp8YEOfu-bneM/edit?usp=sharing"",""งานกองทุน!S44"")"),9780000)</f>
        <v>9780000</v>
      </c>
      <c r="J827" s="269">
        <f ca="1">IFERROR(__xludf.DUMMYFUNCTION("IMPORTRANGE(""https://docs.google.com/spreadsheets/d/19vJNZY_5yjcGF2XGBMNZRCAIB0Kwfpjp8YEOfu-bneM/edit?usp=sharing"",""งานกองทุน!U44"")"),0)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IFERROR(__xludf.DUMMYFUNCTION("IMPORTRANGE(""https://docs.google.com/spreadsheets/d/19vJNZY_5yjcGF2XGBMNZRCAIB0Kwfpjp8YEOfu-bneM/edit?usp=sharing"",""งานกองทุน!R44"")"),391)</f>
        <v>391</v>
      </c>
      <c r="J828" s="499">
        <f ca="1">IFERROR(__xludf.DUMMYFUNCTION("IMPORTRANGE(""https://docs.google.com/spreadsheets/d/19vJNZY_5yjcGF2XGBMNZRCAIB0Kwfpjp8YEOfu-bneM/edit?usp=sharing"",""งานกองทุน!T44"")"),30)</f>
        <v>30</v>
      </c>
      <c r="K828" s="500">
        <f t="shared" ca="1" si="334"/>
        <v>7.6726342710997439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468A-8A95-4105-BF2F-1880ABAD4E9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N553" sqref="N553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349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8577062</v>
      </c>
      <c r="M8" s="22">
        <f t="shared" ca="1" si="0"/>
        <v>3181562</v>
      </c>
      <c r="N8" s="22">
        <f t="shared" ca="1" si="0"/>
        <v>1400174.12</v>
      </c>
      <c r="O8" s="22">
        <f t="shared" ref="O8:O16" ca="1" si="1">IF(L8&gt;0,N8*100/L8,0)</f>
        <v>16.324635638637101</v>
      </c>
      <c r="P8" s="22">
        <f t="shared" ref="P8:P16" ca="1" si="2">IF(M8&gt;0,N8*100/M8,0)</f>
        <v>44.009015697321004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8577062</v>
      </c>
      <c r="M10" s="30">
        <f t="shared" ca="1" si="3"/>
        <v>3181562</v>
      </c>
      <c r="N10" s="30">
        <f t="shared" ca="1" si="3"/>
        <v>1400174.12</v>
      </c>
      <c r="O10" s="30">
        <f t="shared" ca="1" si="1"/>
        <v>16.324635638637101</v>
      </c>
      <c r="P10" s="30">
        <f t="shared" ca="1" si="2"/>
        <v>44.009015697321004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8146462</v>
      </c>
      <c r="M11" s="496">
        <f t="shared" ca="1" si="4"/>
        <v>2750962</v>
      </c>
      <c r="N11" s="496">
        <f t="shared" ca="1" si="4"/>
        <v>969574.12</v>
      </c>
      <c r="O11" s="496">
        <f t="shared" ca="1" si="1"/>
        <v>11.901781656871412</v>
      </c>
      <c r="P11" s="496">
        <f t="shared" ca="1" si="2"/>
        <v>35.244911416442683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8146462</v>
      </c>
      <c r="M13" s="93">
        <f t="shared" ca="1" si="5"/>
        <v>2750962</v>
      </c>
      <c r="N13" s="93">
        <f t="shared" ca="1" si="5"/>
        <v>969574.12</v>
      </c>
      <c r="O13" s="93">
        <f t="shared" ca="1" si="1"/>
        <v>11.901781656871412</v>
      </c>
      <c r="P13" s="93">
        <f t="shared" ca="1" si="2"/>
        <v>35.244911416442683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430600</v>
      </c>
      <c r="M14" s="496">
        <f t="shared" ca="1" si="6"/>
        <v>430600</v>
      </c>
      <c r="N14" s="496">
        <f t="shared" ca="1" si="6"/>
        <v>430600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3181562</v>
      </c>
      <c r="N18" s="22">
        <f t="shared" ca="1" si="8"/>
        <v>1301574.1200000001</v>
      </c>
      <c r="O18" s="22">
        <f t="shared" ref="O18:O26" ca="1" si="9">IF(L18&gt;0,N18*100/L18,0)</f>
        <v>22.340374455875942</v>
      </c>
      <c r="P18" s="22">
        <f t="shared" ref="P18:P26" ca="1" si="10">IF(M18&gt;0,N18*100/M18,0)</f>
        <v>40.909909032104359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3181562</v>
      </c>
      <c r="N20" s="30">
        <f t="shared" ca="1" si="11"/>
        <v>1301574.1200000001</v>
      </c>
      <c r="O20" s="30">
        <f t="shared" ca="1" si="9"/>
        <v>22.340374455875942</v>
      </c>
      <c r="P20" s="30">
        <f t="shared" ca="1" si="10"/>
        <v>40.909909032104359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5395507</v>
      </c>
      <c r="M21" s="496">
        <f t="shared" ca="1" si="12"/>
        <v>2750962</v>
      </c>
      <c r="N21" s="496">
        <f t="shared" ca="1" si="12"/>
        <v>870974.12</v>
      </c>
      <c r="O21" s="496">
        <f t="shared" ca="1" si="9"/>
        <v>16.142581596131745</v>
      </c>
      <c r="P21" s="496">
        <f t="shared" ca="1" si="10"/>
        <v>31.660710689569687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5395507</v>
      </c>
      <c r="M23" s="93">
        <f t="shared" ca="1" si="13"/>
        <v>2750962</v>
      </c>
      <c r="N23" s="93">
        <f t="shared" ca="1" si="13"/>
        <v>870974.12</v>
      </c>
      <c r="O23" s="93">
        <f t="shared" ca="1" si="9"/>
        <v>16.142581596131745</v>
      </c>
      <c r="P23" s="93">
        <f t="shared" ca="1" si="10"/>
        <v>31.660710689569687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430600</v>
      </c>
      <c r="M24" s="496">
        <f t="shared" ca="1" si="14"/>
        <v>430600</v>
      </c>
      <c r="N24" s="496">
        <f t="shared" ca="1" si="14"/>
        <v>430600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2750955</v>
      </c>
      <c r="M28" s="22">
        <f t="shared" si="16"/>
        <v>0</v>
      </c>
      <c r="N28" s="22">
        <f t="shared" si="16"/>
        <v>98600</v>
      </c>
      <c r="O28" s="22">
        <f t="shared" ref="O28:O37" ca="1" si="17">IF(L28&gt;0,N28*100/L28,0)</f>
        <v>3.5842098471258161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2750955</v>
      </c>
      <c r="M30" s="30">
        <f t="shared" si="19"/>
        <v>0</v>
      </c>
      <c r="N30" s="30">
        <f t="shared" si="19"/>
        <v>98600</v>
      </c>
      <c r="O30" s="30">
        <f t="shared" ca="1" si="17"/>
        <v>3.5842098471258161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2750955</v>
      </c>
      <c r="M31" s="496">
        <f t="shared" si="20"/>
        <v>0</v>
      </c>
      <c r="N31" s="496">
        <f t="shared" si="20"/>
        <v>98600</v>
      </c>
      <c r="O31" s="496">
        <f t="shared" ca="1" si="17"/>
        <v>3.5842098471258161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2750955</v>
      </c>
      <c r="M33" s="93">
        <f t="shared" si="21"/>
        <v>0</v>
      </c>
      <c r="N33" s="93">
        <f t="shared" si="21"/>
        <v>98600</v>
      </c>
      <c r="O33" s="93">
        <f t="shared" ca="1" si="17"/>
        <v>3.5842098471258161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5826107</v>
      </c>
      <c r="M37" s="59">
        <f t="shared" ca="1" si="24"/>
        <v>3181562</v>
      </c>
      <c r="N37" s="59">
        <f t="shared" ca="1" si="24"/>
        <v>1301574.1200000001</v>
      </c>
      <c r="O37" s="59">
        <f t="shared" ca="1" si="17"/>
        <v>22.340374455875942</v>
      </c>
      <c r="P37" s="59">
        <f t="shared" ca="1" si="18"/>
        <v>40.909909032104359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404142</v>
      </c>
      <c r="N41" s="85">
        <f t="shared" ca="1" si="25"/>
        <v>138462</v>
      </c>
      <c r="O41" s="85">
        <f t="shared" ref="O41:O49" ca="1" si="26">IF(L41&gt;0,N41*100/L41,0)</f>
        <v>17.157790907468723</v>
      </c>
      <c r="P41" s="85">
        <f t="shared" ref="P41:P49" ca="1" si="27">IF(M41&gt;0,N41*100/M41,0)</f>
        <v>34.260730139406448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404142</v>
      </c>
      <c r="N43" s="92">
        <f t="shared" ca="1" si="28"/>
        <v>138462</v>
      </c>
      <c r="O43" s="92">
        <f t="shared" ca="1" si="26"/>
        <v>17.157790907468723</v>
      </c>
      <c r="P43" s="92">
        <f t="shared" ca="1" si="27"/>
        <v>34.260730139406448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806992</v>
      </c>
      <c r="M44" s="496">
        <f t="shared" ca="1" si="29"/>
        <v>404142</v>
      </c>
      <c r="N44" s="496">
        <f t="shared" ca="1" si="29"/>
        <v>138462</v>
      </c>
      <c r="O44" s="496">
        <f t="shared" ca="1" si="26"/>
        <v>17.157790907468723</v>
      </c>
      <c r="P44" s="496">
        <f t="shared" ca="1" si="27"/>
        <v>34.260730139406448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IFERROR(__xludf.DUMMYFUNCTION("IMPORTRANGE(""https://docs.google.com/spreadsheets/d/1MeEWN-I1oV_STSDYn1IFDPWt_1FKiwhDph83XaGc0o0/edit?usp=sharing"",""งบพรบ!R45"")"),404142)</f>
        <v>404142</v>
      </c>
      <c r="N46" s="93">
        <f ca="1">IFERROR(__xludf.DUMMYFUNCTION("IMPORTRANGE(""https://docs.google.com/spreadsheets/d/1MeEWN-I1oV_STSDYn1IFDPWt_1FKiwhDph83XaGc0o0/edit?usp=sharing"",""งบพรบ!T45"")"),138462)</f>
        <v>138462</v>
      </c>
      <c r="O46" s="93">
        <f t="shared" ca="1" si="26"/>
        <v>17.157790907468723</v>
      </c>
      <c r="P46" s="93">
        <f t="shared" ca="1" si="27"/>
        <v>34.260730139406448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395200</v>
      </c>
      <c r="N53" s="116">
        <f t="shared" ca="1" si="31"/>
        <v>301482.96000000002</v>
      </c>
      <c r="O53" s="116">
        <f t="shared" ref="O53:O61" ca="1" si="32">IF(L53&gt;0,N53*100/L53,0)</f>
        <v>38.143087044534418</v>
      </c>
      <c r="P53" s="116">
        <f t="shared" ref="P53:P61" ca="1" si="33">IF(M53&gt;0,N53*100/M53,0)</f>
        <v>76.286174089068837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395200</v>
      </c>
      <c r="N55" s="123">
        <f t="shared" ca="1" si="34"/>
        <v>301482.96000000002</v>
      </c>
      <c r="O55" s="123">
        <f t="shared" ca="1" si="32"/>
        <v>38.143087044534418</v>
      </c>
      <c r="P55" s="123">
        <f t="shared" ca="1" si="33"/>
        <v>76.286174089068837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790400</v>
      </c>
      <c r="M56" s="496">
        <f t="shared" ca="1" si="35"/>
        <v>395200</v>
      </c>
      <c r="N56" s="496">
        <f t="shared" ca="1" si="35"/>
        <v>301482.96000000002</v>
      </c>
      <c r="O56" s="496">
        <f t="shared" ca="1" si="32"/>
        <v>38.143087044534418</v>
      </c>
      <c r="P56" s="496">
        <f t="shared" ca="1" si="33"/>
        <v>76.286174089068837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IFERROR(__xludf.DUMMYFUNCTION("IMPORTRANGE(""https://docs.google.com/spreadsheets/d/1MeEWN-I1oV_STSDYn1IFDPWt_1FKiwhDph83XaGc0o0/edit?usp=sharing"",""งบพรบ!AB45"")"),395200)</f>
        <v>395200</v>
      </c>
      <c r="N58" s="93">
        <f ca="1">IFERROR(__xludf.DUMMYFUNCTION("IMPORTRANGE(""https://docs.google.com/spreadsheets/d/1MeEWN-I1oV_STSDYn1IFDPWt_1FKiwhDph83XaGc0o0/edit?usp=sharing"",""งบพรบ!AD45"")"),301482.96)</f>
        <v>301482.96000000002</v>
      </c>
      <c r="O58" s="93">
        <f t="shared" ca="1" si="32"/>
        <v>38.143087044534418</v>
      </c>
      <c r="P58" s="93">
        <f t="shared" ca="1" si="33"/>
        <v>76.286174089068837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1012000</v>
      </c>
      <c r="M66" s="155">
        <f t="shared" ca="1" si="39"/>
        <v>486000</v>
      </c>
      <c r="N66" s="155">
        <f t="shared" ca="1" si="39"/>
        <v>130000</v>
      </c>
      <c r="O66" s="155">
        <f t="shared" ref="O66:O74" ca="1" si="40">IF(L66&gt;0,N66*100/L66,0)</f>
        <v>12.845849802371541</v>
      </c>
      <c r="P66" s="155">
        <f t="shared" ref="P66:P74" ca="1" si="41">IF(M66&gt;0,N66*100/M66,0)</f>
        <v>26.748971193415638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1012000</v>
      </c>
      <c r="M68" s="93">
        <f t="shared" ca="1" si="42"/>
        <v>486000</v>
      </c>
      <c r="N68" s="93">
        <f t="shared" ca="1" si="42"/>
        <v>130000</v>
      </c>
      <c r="O68" s="93">
        <f t="shared" ca="1" si="40"/>
        <v>12.845849802371541</v>
      </c>
      <c r="P68" s="93">
        <f t="shared" ca="1" si="41"/>
        <v>26.748971193415638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1012000</v>
      </c>
      <c r="M69" s="496">
        <f t="shared" ca="1" si="43"/>
        <v>486000</v>
      </c>
      <c r="N69" s="496">
        <f t="shared" ca="1" si="43"/>
        <v>130000</v>
      </c>
      <c r="O69" s="496">
        <f t="shared" ca="1" si="40"/>
        <v>12.845849802371541</v>
      </c>
      <c r="P69" s="496">
        <f t="shared" ca="1" si="41"/>
        <v>26.748971193415638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IFERROR(__xludf.DUMMYFUNCTION("IMPORTRANGE(""https://docs.google.com/spreadsheets/d/1MeEWN-I1oV_STSDYn1IFDPWt_1FKiwhDph83XaGc0o0/edit?usp=sharing"",""งบพรบ!AL45"")"),486000)</f>
        <v>486000</v>
      </c>
      <c r="N71" s="93">
        <f ca="1">IFERROR(__xludf.DUMMYFUNCTION("IMPORTRANGE(""https://docs.google.com/spreadsheets/d/1MeEWN-I1oV_STSDYn1IFDPWt_1FKiwhDph83XaGc0o0/edit?usp=sharing"",""งบพรบ!AN45"")"),130000)</f>
        <v>130000</v>
      </c>
      <c r="O71" s="93">
        <f t="shared" ca="1" si="40"/>
        <v>12.845849802371541</v>
      </c>
      <c r="P71" s="93">
        <f t="shared" ca="1" si="41"/>
        <v>26.748971193415638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30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111180</v>
      </c>
      <c r="M88" s="155">
        <f t="shared" ca="1" si="49"/>
        <v>43680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111180</v>
      </c>
      <c r="M90" s="93">
        <f t="shared" ca="1" si="52"/>
        <v>43680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111180</v>
      </c>
      <c r="M91" s="496">
        <f t="shared" ca="1" si="53"/>
        <v>43680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IFERROR(__xludf.DUMMYFUNCTION("IMPORTRANGE(""https://docs.google.com/spreadsheets/d/1MeEWN-I1oV_STSDYn1IFDPWt_1FKiwhDph83XaGc0o0/edit?usp=sharing"",""งบพรบ!AV45"")"),43680)</f>
        <v>43680</v>
      </c>
      <c r="N93" s="93">
        <f ca="1">IFERROR(__xludf.DUMMYFUNCTION("IMPORTRANGE(""https://docs.google.com/spreadsheets/d/1MeEWN-I1oV_STSDYn1IFDPWt_1FKiwhDph83XaGc0o0/edit?usp=sharing"",""งบพรบ!AX45"")"),0)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IFERROR(__xludf.DUMMYFUNCTION("IMPORTRANGE(""https://docs.google.com/spreadsheets/d/1QqKyyYR6Q21VydFLVH3TRQUabQu_ym0Zz7PgGX0-kHA/edit?usp=sharing"",""แผน!K45"")"),60)</f>
        <v>60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IFERROR(__xludf.DUMMYFUNCTION("IMPORTRANGE(""https://docs.google.com/spreadsheets/d/1QqKyyYR6Q21VydFLVH3TRQUabQu_ym0Zz7PgGX0-kHA/edit?usp=sharing"",""แผน!L45"")"),20)</f>
        <v>20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IFERROR(__xludf.DUMMYFUNCTION("IMPORTRANGE(""https://docs.google.com/spreadsheets/d/1QqKyyYR6Q21VydFLVH3TRQUabQu_ym0Zz7PgGX0-kHA/edit?usp=sharing"",""แผน!M45"")"),2)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IFERROR(__xludf.DUMMYFUNCTION("IMPORTRANGE(""https://docs.google.com/spreadsheets/d/1QqKyyYR6Q21VydFLVH3TRQUabQu_ym0Zz7PgGX0-kHA/edit?usp=sharing"",""แผน!N45"")"),60)</f>
        <v>60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IFERROR(__xludf.DUMMYFUNCTION("IMPORTRANGE(""https://docs.google.com/spreadsheets/d/1QqKyyYR6Q21VydFLVH3TRQUabQu_ym0Zz7PgGX0-kHA/edit?usp=sharing"",""แผน!O45"")"),20)</f>
        <v>20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IFERROR(__xludf.DUMMYFUNCTION("IMPORTRANGE(""https://docs.google.com/spreadsheets/d/1QqKyyYR6Q21VydFLVH3TRQUabQu_ym0Zz7PgGX0-kHA/edit?usp=sharing"",""แผน!O45"")"),20)</f>
        <v>20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IFERROR(__xludf.DUMMYFUNCTION("IMPORTRANGE(""https://docs.google.com/spreadsheets/d/1QqKyyYR6Q21VydFLVH3TRQUabQu_ym0Zz7PgGX0-kHA/edit?usp=sharing"",""แผน!P45"")"),1)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IFERROR(__xludf.DUMMYFUNCTION("IMPORTRANGE(""https://docs.google.com/spreadsheets/d/1QqKyyYR6Q21VydFLVH3TRQUabQu_ym0Zz7PgGX0-kHA/edit?usp=sharing"",""แผน!P45"")"),1)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IFERROR(__xludf.DUMMYFUNCTION("IMPORTRANGE(""https://docs.google.com/spreadsheets/d/1QqKyyYR6Q21VydFLVH3TRQUabQu_ym0Zz7PgGX0-kHA/edit?usp=sharing"",""แผน!Q45"")"),1)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IFERROR(__xludf.DUMMYFUNCTION("IMPORTRANGE(""https://docs.google.com/spreadsheets/d/1QqKyyYR6Q21VydFLVH3TRQUabQu_ym0Zz7PgGX0-kHA/edit?usp=sharing"",""แผน!Q45"")"),1)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454965</v>
      </c>
      <c r="M132" s="155">
        <f t="shared" ca="1" si="69"/>
        <v>400800</v>
      </c>
      <c r="N132" s="155">
        <f t="shared" ca="1" si="69"/>
        <v>309000</v>
      </c>
      <c r="O132" s="155">
        <f t="shared" ref="O132:O140" ca="1" si="70">IF(L132&gt;0,N132*100/L132,0)</f>
        <v>67.917312320727973</v>
      </c>
      <c r="P132" s="155">
        <f t="shared" ref="P132:P140" ca="1" si="71">IF(M132&gt;0,N132*100/M132,0)</f>
        <v>77.095808383233532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454965</v>
      </c>
      <c r="M134" s="93">
        <f t="shared" ca="1" si="72"/>
        <v>400800</v>
      </c>
      <c r="N134" s="93">
        <f t="shared" ca="1" si="72"/>
        <v>309000</v>
      </c>
      <c r="O134" s="93">
        <f t="shared" ca="1" si="70"/>
        <v>67.917312320727973</v>
      </c>
      <c r="P134" s="93">
        <f t="shared" ca="1" si="71"/>
        <v>77.095808383233532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145965</v>
      </c>
      <c r="M135" s="496">
        <f t="shared" ca="1" si="73"/>
        <v>91800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IFERROR(__xludf.DUMMYFUNCTION("IMPORTRANGE(""https://docs.google.com/spreadsheets/d/1MeEWN-I1oV_STSDYn1IFDPWt_1FKiwhDph83XaGc0o0/edit?usp=sharing"",""งบพรบ!BP45"")"),91800)</f>
        <v>91800</v>
      </c>
      <c r="N137" s="93">
        <f ca="1">IFERROR(__xludf.DUMMYFUNCTION("IMPORTRANGE(""https://docs.google.com/spreadsheets/d/1MeEWN-I1oV_STSDYn1IFDPWt_1FKiwhDph83XaGc0o0/edit?usp=sharing"",""งบพรบ!BR45"")"),0)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309000</v>
      </c>
      <c r="M138" s="496">
        <f t="shared" ca="1" si="74"/>
        <v>309000</v>
      </c>
      <c r="N138" s="496">
        <f t="shared" ca="1" si="74"/>
        <v>309000</v>
      </c>
      <c r="O138" s="496">
        <f t="shared" ca="1" si="70"/>
        <v>100</v>
      </c>
      <c r="P138" s="49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30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IFERROR(__xludf.DUMMYFUNCTION("IMPORTRANGE(""https://docs.google.com/spreadsheets/d/1QqKyyYR6Q21VydFLVH3TRQUabQu_ym0Zz7PgGX0-kHA/edit?usp=sharing"",""แผน!U45"")"),15)</f>
        <v>15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IFERROR(__xludf.DUMMYFUNCTION("IMPORTRANGE(""https://docs.google.com/spreadsheets/d/1QqKyyYR6Q21VydFLVH3TRQUabQu_ym0Zz7PgGX0-kHA/edit?usp=sharing"",""แผน!V45"")"),30)</f>
        <v>30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IFERROR(__xludf.DUMMYFUNCTION("IMPORTRANGE(""https://docs.google.com/spreadsheets/d/1QqKyyYR6Q21VydFLVH3TRQUabQu_ym0Zz7PgGX0-kHA/edit?usp=sharing"",""แผน!W45"")"),3)</f>
        <v>3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10000</v>
      </c>
      <c r="M152" s="496">
        <f t="shared" ca="1" si="81"/>
        <v>10000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IFERROR(__xludf.DUMMYFUNCTION("IMPORTRANGE(""https://docs.google.com/spreadsheets/d/1MeEWN-I1oV_STSDYn1IFDPWt_1FKiwhDph83XaGc0o0/edit?usp=sharing"",""งบพรบ!BZ45"")"),10000)</f>
        <v>10000</v>
      </c>
      <c r="N154" s="93">
        <f ca="1">IFERROR(__xludf.DUMMYFUNCTION("IMPORTRANGE(""https://docs.google.com/spreadsheets/d/1MeEWN-I1oV_STSDYn1IFDPWt_1FKiwhDph83XaGc0o0/edit?usp=sharing"",""งบพรบ!CB45"")"),0)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IFERROR(__xludf.DUMMYFUNCTION("IMPORTRANGE(""https://docs.google.com/spreadsheets/d/1QqKyyYR6Q21VydFLVH3TRQUabQu_ym0Zz7PgGX0-kHA/edit?usp=sharing"",""แผน!X45"")"),20)</f>
        <v>20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12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IFERROR(__xludf.DUMMYFUNCTION("IMPORTRANGE(""https://docs.google.com/spreadsheets/d/1MeEWN-I1oV_STSDYn1IFDPWt_1FKiwhDph83XaGc0o0/edit?usp=sharing"",""งบพรบ!CJ45"")"),23060)</f>
        <v>23060</v>
      </c>
      <c r="N170" s="93">
        <f ca="1">IFERROR(__xludf.DUMMYFUNCTION("IMPORTRANGE(""https://docs.google.com/spreadsheets/d/1MeEWN-I1oV_STSDYn1IFDPWt_1FKiwhDph83XaGc0o0/edit?usp=sharing"",""งบพรบ!CL45"")"),0)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IFERROR(__xludf.DUMMYFUNCTION("IMPORTRANGE(""https://docs.google.com/spreadsheets/d/1QqKyyYR6Q21VydFLVH3TRQUabQu_ym0Zz7PgGX0-kHA/edit?usp=sharing"",""แผน!Y45"")"),12)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40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571200</v>
      </c>
      <c r="M181" s="155">
        <f t="shared" ca="1" si="92"/>
        <v>323850</v>
      </c>
      <c r="N181" s="155">
        <f t="shared" ca="1" si="92"/>
        <v>35393.160000000003</v>
      </c>
      <c r="O181" s="155">
        <f t="shared" ref="O181:O189" ca="1" si="93">IF(L181&gt;0,N181*100/L181,0)</f>
        <v>6.1962815126050428</v>
      </c>
      <c r="P181" s="155">
        <f t="shared" ref="P181:P189" ca="1" si="94">IF(M181&gt;0,N181*100/M181,0)</f>
        <v>10.92887447892543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571200</v>
      </c>
      <c r="M183" s="93">
        <f t="shared" ca="1" si="95"/>
        <v>323850</v>
      </c>
      <c r="N183" s="93">
        <f t="shared" ca="1" si="95"/>
        <v>35393.160000000003</v>
      </c>
      <c r="O183" s="93">
        <f t="shared" ca="1" si="93"/>
        <v>6.1962815126050428</v>
      </c>
      <c r="P183" s="93">
        <f t="shared" ca="1" si="94"/>
        <v>10.92887447892543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571200</v>
      </c>
      <c r="M184" s="496">
        <f t="shared" ca="1" si="96"/>
        <v>323850</v>
      </c>
      <c r="N184" s="496">
        <f t="shared" ca="1" si="96"/>
        <v>35393.160000000003</v>
      </c>
      <c r="O184" s="496">
        <f t="shared" ca="1" si="93"/>
        <v>6.1962815126050428</v>
      </c>
      <c r="P184" s="496">
        <f t="shared" ca="1" si="94"/>
        <v>10.92887447892543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IFERROR(__xludf.DUMMYFUNCTION("IMPORTRANGE(""https://docs.google.com/spreadsheets/d/1MeEWN-I1oV_STSDYn1IFDPWt_1FKiwhDph83XaGc0o0/edit?usp=sharing"",""งบพรบ!CT45"")"),323850)</f>
        <v>323850</v>
      </c>
      <c r="N186" s="93">
        <f ca="1">IFERROR(__xludf.DUMMYFUNCTION("IMPORTRANGE(""https://docs.google.com/spreadsheets/d/1MeEWN-I1oV_STSDYn1IFDPWt_1FKiwhDph83XaGc0o0/edit?usp=sharing"",""งบพรบ!CV45"")"),35393.16)</f>
        <v>35393.160000000003</v>
      </c>
      <c r="O186" s="93">
        <f t="shared" ca="1" si="93"/>
        <v>6.1962815126050428</v>
      </c>
      <c r="P186" s="93">
        <f t="shared" ca="1" si="94"/>
        <v>10.92887447892543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IFERROR(__xludf.DUMMYFUNCTION("IMPORTRANGE(""https://docs.google.com/spreadsheets/d/1QqKyyYR6Q21VydFLVH3TRQUabQu_ym0Zz7PgGX0-kHA/edit?usp=sharing"",""แผน!AC45"")"),4)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3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44000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IFERROR(__xludf.DUMMYFUNCTION("IMPORTRANGE(""https://docs.google.com/spreadsheets/d/1QqKyyYR6Q21VydFLVH3TRQUabQu_ym0Zz7PgGX0-kHA/edit?usp=sharing"",""แผน!AE45"")"),3000)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IFERROR(__xludf.DUMMYFUNCTION("IMPORTRANGE(""https://docs.google.com/spreadsheets/d/1QqKyyYR6Q21VydFLVH3TRQUabQu_ym0Zz7PgGX0-kHA/edit?usp=sharing"",""แผน!AF45"")"),24000)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IFERROR(__xludf.DUMMYFUNCTION("IMPORTRANGE(""https://docs.google.com/spreadsheets/d/1QqKyyYR6Q21VydFLVH3TRQUabQu_ym0Zz7PgGX0-kHA/edit?usp=sharing"",""แผน!AG45"")"),12000)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IFERROR(__xludf.DUMMYFUNCTION("IMPORTRANGE(""https://docs.google.com/spreadsheets/d/1QqKyyYR6Q21VydFLVH3TRQUabQu_ym0Zz7PgGX0-kHA/edit?usp=sharing"",""แผน!AH45"")"),5000)</f>
        <v>5000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IFERROR(__xludf.DUMMYFUNCTION("IMPORTRANGE(""https://docs.google.com/spreadsheets/d/1QqKyyYR6Q21VydFLVH3TRQUabQu_ym0Zz7PgGX0-kHA/edit?usp=sharing"",""แผน!AI45"")"),3)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1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IFERROR(__xludf.DUMMYFUNCTION("IMPORTRANGE(""https://docs.google.com/spreadsheets/d/1QqKyyYR6Q21VydFLVH3TRQUabQu_ym0Zz7PgGX0-kHA/edit?usp=sharing"",""แผน!AK45"")"),0)</f>
        <v>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IFERROR(__xludf.DUMMYFUNCTION("IMPORTRANGE(""https://docs.google.com/spreadsheets/d/1QqKyyYR6Q21VydFLVH3TRQUabQu_ym0Zz7PgGX0-kHA/edit?usp=sharing"",""แผน!AL45"")"),0)</f>
        <v>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IFERROR(__xludf.DUMMYFUNCTION("IMPORTRANGE(""https://docs.google.com/spreadsheets/d/1QqKyyYR6Q21VydFLVH3TRQUabQu_ym0Zz7PgGX0-kHA/edit?usp=sharing"",""แผน!AM45"")"),0)</f>
        <v>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IFERROR(__xludf.DUMMYFUNCTION("IMPORTRANGE(""https://docs.google.com/spreadsheets/d/1QqKyyYR6Q21VydFLVH3TRQUabQu_ym0Zz7PgGX0-kHA/edit?usp=sharing"",""แผน!AN45"")"),0)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IFERROR(__xludf.DUMMYFUNCTION("IMPORTRANGE(""https://docs.google.com/spreadsheets/d/1QqKyyYR6Q21VydFLVH3TRQUabQu_ym0Zz7PgGX0-kHA/edit?usp=sharing"",""แผน!AN45"")"),0)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12800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IFERROR(__xludf.DUMMYFUNCTION("IMPORTRANGE(""https://docs.google.com/spreadsheets/d/1QqKyyYR6Q21VydFLVH3TRQUabQu_ym0Zz7PgGX0-kHA/edit?usp=sharing"",""แผน!AP45"")"),3000)</f>
        <v>3000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IFERROR(__xludf.DUMMYFUNCTION("IMPORTRANGE(""https://docs.google.com/spreadsheets/d/1QqKyyYR6Q21VydFLVH3TRQUabQu_ym0Zz7PgGX0-kHA/edit?usp=sharing"",""แผน!AQ45"")"),4100)</f>
        <v>4100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IFERROR(__xludf.DUMMYFUNCTION("IMPORTRANGE(""https://docs.google.com/spreadsheets/d/1QqKyyYR6Q21VydFLVH3TRQUabQu_ym0Zz7PgGX0-kHA/edit?usp=sharing"",""แผน!AR45"")"),0)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IFERROR(__xludf.DUMMYFUNCTION("IMPORTRANGE(""https://docs.google.com/spreadsheets/d/1QqKyyYR6Q21VydFLVH3TRQUabQu_ym0Zz7PgGX0-kHA/edit?usp=sharing"",""แผน!AT45"")"),12800)</f>
        <v>12800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IFERROR(__xludf.DUMMYFUNCTION("IMPORTRANGE(""https://docs.google.com/spreadsheets/d/1QqKyyYR6Q21VydFLVH3TRQUabQu_ym0Zz7PgGX0-kHA/edit?usp=sharing"",""แผน!AT45"")"),12800)</f>
        <v>12800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IFERROR(__xludf.DUMMYFUNCTION("IMPORTRANGE(""https://docs.google.com/spreadsheets/d/1QqKyyYR6Q21VydFLVH3TRQUabQu_ym0Zz7PgGX0-kHA/edit?usp=sharing"",""แผน!AS45"")"),0)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40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338600</v>
      </c>
      <c r="M227" s="355"/>
      <c r="N227" s="355">
        <f t="shared" ref="N227:N231" si="107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145600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40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40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1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350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40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338600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IFERROR(__xludf.DUMMYFUNCTION("IMPORTRANGE(""https://docs.google.com/spreadsheets/d/1QqKyyYR6Q21VydFLVH3TRQUabQu_ym0Zz7PgGX0-kHA/edit?usp=sharing"",""แผน!AV45"")"),163000)</f>
        <v>163000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IFERROR(__xludf.DUMMYFUNCTION("IMPORTRANGE(""https://docs.google.com/spreadsheets/d/1QqKyyYR6Q21VydFLVH3TRQUabQu_ym0Zz7PgGX0-kHA/edit?usp=sharing"",""แผน!AW45"")"),145600)</f>
        <v>145600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IFERROR(__xludf.DUMMYFUNCTION("IMPORTRANGE(""https://docs.google.com/spreadsheets/d/1QqKyyYR6Q21VydFLVH3TRQUabQu_ym0Zz7PgGX0-kHA/edit?usp=sharing"",""แผน!AX45"")"),20000)</f>
        <v>20000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IFERROR(__xludf.DUMMYFUNCTION("IMPORTRANGE(""https://docs.google.com/spreadsheets/d/1QqKyyYR6Q21VydFLVH3TRQUabQu_ym0Zz7PgGX0-kHA/edit?usp=sharing"",""แผน!AY45"")"),10000)</f>
        <v>10000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IFERROR(__xludf.DUMMYFUNCTION("IMPORTRANGE(""https://docs.google.com/spreadsheets/d/1QqKyyYR6Q21VydFLVH3TRQUabQu_ym0Zz7PgGX0-kHA/edit?usp=sharing"",""แผน!BE45"")"),40)</f>
        <v>40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40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IFERROR(__xludf.DUMMYFUNCTION("IMPORTRANGE(""https://docs.google.com/spreadsheets/d/1QqKyyYR6Q21VydFLVH3TRQUabQu_ym0Zz7PgGX0-kHA/edit?usp=sharing"",""แผน!AZ45"")"),0)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IFERROR(__xludf.DUMMYFUNCTION("IMPORTRANGE(""https://docs.google.com/spreadsheets/d/1QqKyyYR6Q21VydFLVH3TRQUabQu_ym0Zz7PgGX0-kHA/edit?usp=sharing"",""แผน!BA45"")"),0)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IFERROR(__xludf.DUMMYFUNCTION("IMPORTRANGE(""https://docs.google.com/spreadsheets/d/1QqKyyYR6Q21VydFLVH3TRQUabQu_ym0Zz7PgGX0-kHA/edit?usp=sharing"",""แผน!BB45"")"),0)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IFERROR(__xludf.DUMMYFUNCTION("IMPORTRANGE(""https://docs.google.com/spreadsheets/d/1QqKyyYR6Q21VydFLVH3TRQUabQu_ym0Zz7PgGX0-kHA/edit?usp=sharing"",""แผน!BC45"")"),0)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IFERROR(__xludf.DUMMYFUNCTION("IMPORTRANGE(""https://docs.google.com/spreadsheets/d/1QqKyyYR6Q21VydFLVH3TRQUabQu_ym0Zz7PgGX0-kHA/edit?usp=sharing"",""แผน!BF45"")"),0)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26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30700</v>
      </c>
      <c r="M264" s="496">
        <f t="shared" ca="1" si="120"/>
        <v>27700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IFERROR(__xludf.DUMMYFUNCTION("IMPORTRANGE(""https://docs.google.com/spreadsheets/d/1MeEWN-I1oV_STSDYn1IFDPWt_1FKiwhDph83XaGc0o0/edit?usp=sharing"",""งบพรบ!DD45"")"),27700)</f>
        <v>27700</v>
      </c>
      <c r="N266" s="93">
        <f ca="1">IFERROR(__xludf.DUMMYFUNCTION("IMPORTRANGE(""https://docs.google.com/spreadsheets/d/1MeEWN-I1oV_STSDYn1IFDPWt_1FKiwhDph83XaGc0o0/edit?usp=sharing"",""งบพรบ!DF45"")"),0)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IFERROR(__xludf.DUMMYFUNCTION("IMPORTRANGE(""https://docs.google.com/spreadsheets/d/1QqKyyYR6Q21VydFLVH3TRQUabQu_ym0Zz7PgGX0-kHA/edit?usp=sharing"",""แผน!EA45"")"),26)</f>
        <v>26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30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4">I287</f>
        <v>300</v>
      </c>
      <c r="J276" s="854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111710</v>
      </c>
      <c r="M277" s="155">
        <f t="shared" ca="1" si="125"/>
        <v>46460</v>
      </c>
      <c r="N277" s="155">
        <f t="shared" ca="1" si="125"/>
        <v>300</v>
      </c>
      <c r="O277" s="155">
        <f t="shared" ref="O277:O285" ca="1" si="126">IF(L277&gt;0,N277*100/L277,0)</f>
        <v>0.26855250201414377</v>
      </c>
      <c r="P277" s="155">
        <f t="shared" ref="P277:P285" ca="1" si="127">IF(M277&gt;0,N277*100/M277,0)</f>
        <v>0.64571674558760228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111710</v>
      </c>
      <c r="M279" s="93">
        <f t="shared" ca="1" si="128"/>
        <v>46460</v>
      </c>
      <c r="N279" s="93">
        <f t="shared" ca="1" si="128"/>
        <v>300</v>
      </c>
      <c r="O279" s="93">
        <f t="shared" ca="1" si="126"/>
        <v>0.26855250201414377</v>
      </c>
      <c r="P279" s="93">
        <f t="shared" ca="1" si="127"/>
        <v>0.64571674558760228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111710</v>
      </c>
      <c r="M280" s="496">
        <f t="shared" ca="1" si="129"/>
        <v>46460</v>
      </c>
      <c r="N280" s="496">
        <f t="shared" ca="1" si="129"/>
        <v>300</v>
      </c>
      <c r="O280" s="496">
        <f t="shared" ca="1" si="126"/>
        <v>0.26855250201414377</v>
      </c>
      <c r="P280" s="496">
        <f t="shared" ca="1" si="127"/>
        <v>0.64571674558760228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IFERROR(__xludf.DUMMYFUNCTION("IMPORTRANGE(""https://docs.google.com/spreadsheets/d/1MeEWN-I1oV_STSDYn1IFDPWt_1FKiwhDph83XaGc0o0/edit?usp=sharing"",""งบพรบ!DN45"")"),46460)</f>
        <v>46460</v>
      </c>
      <c r="N282" s="93">
        <f ca="1">IFERROR(__xludf.DUMMYFUNCTION("IMPORTRANGE(""https://docs.google.com/spreadsheets/d/1MeEWN-I1oV_STSDYn1IFDPWt_1FKiwhDph83XaGc0o0/edit?usp=sharing"",""งบพรบ!DP45"")"),300)</f>
        <v>300</v>
      </c>
      <c r="O282" s="93">
        <f t="shared" ca="1" si="126"/>
        <v>0.26855250201414377</v>
      </c>
      <c r="P282" s="93">
        <f t="shared" ca="1" si="127"/>
        <v>0.64571674558760228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IFERROR(__xludf.DUMMYFUNCTION("IMPORTRANGE(""https://docs.google.com/spreadsheets/d/1QqKyyYR6Q21VydFLVH3TRQUabQu_ym0Zz7PgGX0-kHA/edit?usp=sharing"",""แผน!EC45"")"),300)</f>
        <v>300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IFERROR(__xludf.DUMMYFUNCTION("IMPORTRANGE(""https://docs.google.com/spreadsheets/d/1QqKyyYR6Q21VydFLVH3TRQUabQu_ym0Zz7PgGX0-kHA/edit?usp=sharing"",""แผน!EB45"")"),30)</f>
        <v>30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IFERROR(__xludf.DUMMYFUNCTION("IMPORTRANGE(""https://docs.google.com/spreadsheets/d/1QqKyyYR6Q21VydFLVH3TRQUabQu_ym0Zz7PgGX0-kHA/edit?usp=sharing"",""แผน!EB45"")"),30)</f>
        <v>30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20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82400</v>
      </c>
      <c r="M301" s="496">
        <f t="shared" ca="1" si="139"/>
        <v>49120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IFERROR(__xludf.DUMMYFUNCTION("IMPORTRANGE(""https://docs.google.com/spreadsheets/d/1MeEWN-I1oV_STSDYn1IFDPWt_1FKiwhDph83XaGc0o0/edit?usp=sharing"",""งบพรบ!DX45"")"),49120)</f>
        <v>49120</v>
      </c>
      <c r="N303" s="93">
        <f ca="1">IFERROR(__xludf.DUMMYFUNCTION("IMPORTRANGE(""https://docs.google.com/spreadsheets/d/1MeEWN-I1oV_STSDYn1IFDPWt_1FKiwhDph83XaGc0o0/edit?usp=sharing"",""งบพรบ!DZ45"")"),0)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IFERROR(__xludf.DUMMYFUNCTION("IMPORTRANGE(""https://docs.google.com/spreadsheets/d/1QqKyyYR6Q21VydFLVH3TRQUabQu_ym0Zz7PgGX0-kHA/edit?usp=sharing"",""แผน!ED45"")"),20)</f>
        <v>20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IFERROR(__xludf.DUMMYFUNCTION("IMPORTRANGE(""https://docs.google.com/spreadsheets/d/1QqKyyYR6Q21VydFLVH3TRQUabQu_ym0Zz7PgGX0-kHA/edit?usp=sharing"",""แผน!ED45"")"),20)</f>
        <v>20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IFERROR(__xludf.DUMMYFUNCTION("IMPORTRANGE(""https://docs.google.com/spreadsheets/d/1QqKyyYR6Q21VydFLVH3TRQUabQu_ym0Zz7PgGX0-kHA/edit?usp=sharing"",""แผน!ED45"")"),20)</f>
        <v>20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IFERROR(__xludf.DUMMYFUNCTION("IMPORTRANGE(""https://docs.google.com/spreadsheets/d/1QqKyyYR6Q21VydFLVH3TRQUabQu_ym0Zz7PgGX0-kHA/edit?usp=sharing"",""แผน!EE45"")"),4)</f>
        <v>4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IFERROR(__xludf.DUMMYFUNCTION("IMPORTRANGE(""https://docs.google.com/spreadsheets/d/1QqKyyYR6Q21VydFLVH3TRQUabQu_ym0Zz7PgGX0-kHA/edit?usp=sharing"",""แผน!EF45"")"),0)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IFERROR(__xludf.DUMMYFUNCTION("IMPORTRANGE(""https://docs.google.com/spreadsheets/d/1QqKyyYR6Q21VydFLVH3TRQUabQu_ym0Zz7PgGX0-kHA/edit?usp=sharing"",""แผน!EG45"")"),3000)</f>
        <v>3000</v>
      </c>
      <c r="J327" s="443">
        <f ca="1">J338+J341+J342+J343</f>
        <v>504</v>
      </c>
      <c r="K327" s="444">
        <f ca="1">IF(I327&gt;0,J327*100/I327,0)</f>
        <v>16.8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176000</v>
      </c>
      <c r="M328" s="155">
        <f t="shared" ca="1" si="149"/>
        <v>88000</v>
      </c>
      <c r="N328" s="155">
        <f t="shared" ca="1" si="149"/>
        <v>53440</v>
      </c>
      <c r="O328" s="155">
        <f t="shared" ref="O328:O336" ca="1" si="150">IF(L328&gt;0,N328*100/L328,0)</f>
        <v>30.363636363636363</v>
      </c>
      <c r="P328" s="155">
        <f t="shared" ref="P328:P336" ca="1" si="151">IF(M328&gt;0,N328*100/M328,0)</f>
        <v>60.727272727272727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176000</v>
      </c>
      <c r="M330" s="93">
        <f t="shared" ca="1" si="152"/>
        <v>88000</v>
      </c>
      <c r="N330" s="93">
        <f t="shared" ca="1" si="152"/>
        <v>53440</v>
      </c>
      <c r="O330" s="93">
        <f t="shared" ca="1" si="150"/>
        <v>30.363636363636363</v>
      </c>
      <c r="P330" s="93">
        <f t="shared" ca="1" si="151"/>
        <v>60.727272727272727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176000</v>
      </c>
      <c r="M331" s="496">
        <f t="shared" ca="1" si="153"/>
        <v>88000</v>
      </c>
      <c r="N331" s="496">
        <f t="shared" ca="1" si="153"/>
        <v>53440</v>
      </c>
      <c r="O331" s="496">
        <f t="shared" ca="1" si="150"/>
        <v>30.363636363636363</v>
      </c>
      <c r="P331" s="496">
        <f t="shared" ca="1" si="151"/>
        <v>60.727272727272727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IFERROR(__xludf.DUMMYFUNCTION("IMPORTRANGE(""https://docs.google.com/spreadsheets/d/1MeEWN-I1oV_STSDYn1IFDPWt_1FKiwhDph83XaGc0o0/edit?usp=sharing"",""งบพรบ!ER45"")"),88000)</f>
        <v>88000</v>
      </c>
      <c r="N333" s="93">
        <f ca="1">IFERROR(__xludf.DUMMYFUNCTION("IMPORTRANGE(""https://docs.google.com/spreadsheets/d/1MeEWN-I1oV_STSDYn1IFDPWt_1FKiwhDph83XaGc0o0/edit?usp=sharing"",""งบพรบ!ET45"")"),53440)</f>
        <v>53440</v>
      </c>
      <c r="O333" s="93">
        <f t="shared" ca="1" si="150"/>
        <v>30.363636363636363</v>
      </c>
      <c r="P333" s="93">
        <f t="shared" ca="1" si="151"/>
        <v>60.727272727272727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IFERROR(__xludf.DUMMYFUNCTION("IMPORTRANGE(""https://docs.google.com/spreadsheets/d/1QqKyyYR6Q21VydFLVH3TRQUabQu_ym0Zz7PgGX0-kHA/edit?usp=sharing"",""แผน!EG45"")"),3000)</f>
        <v>3000</v>
      </c>
      <c r="J338" s="269">
        <f ca="1">IFERROR(__xludf.DUMMYFUNCTION("IMPORTRANGE(""https://docs.google.com/spreadsheets/d/1kVcqe37tkHyjCSG3S0O1AXqVkqjo8mSIZil3BcpIysc/edit?usp=sharing"",""ศูนย์!D45"")"),504)</f>
        <v>504</v>
      </c>
      <c r="K338" s="496">
        <f ca="1">IF(I338&gt;0,J338*100/I338,0)</f>
        <v>16.8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IFERROR(__xludf.DUMMYFUNCTION("IMPORTRANGE(""https://docs.google.com/spreadsheets/d/1QqKyyYR6Q21VydFLVH3TRQUabQu_ym0Zz7PgGX0-kHA/edit?usp=sharing"",""แผน!EH45"")"),9)</f>
        <v>9</v>
      </c>
      <c r="J340" s="269">
        <f ca="1">IFERROR(__xludf.DUMMYFUNCTION("IMPORTRANGE(""https://docs.google.com/spreadsheets/d/1kVcqe37tkHyjCSG3S0O1AXqVkqjo8mSIZil3BcpIysc/edit?usp=sharing"",""ศูนย์!E45"")"),0)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IFERROR(__xludf.DUMMYFUNCTION("IMPORTRANGE(""https://docs.google.com/spreadsheets/d/1kVcqe37tkHyjCSG3S0O1AXqVkqjo8mSIZil3BcpIysc/edit?usp=sharing"",""ศูนย์!F45"")"),0)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IFERROR(__xludf.DUMMYFUNCTION("IMPORTRANGE(""https://docs.google.com/spreadsheets/d/1kVcqe37tkHyjCSG3S0O1AXqVkqjo8mSIZil3BcpIysc/edit?usp=sharing"",""ศูนย์!G45"")"),0)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IFERROR(__xludf.DUMMYFUNCTION("IMPORTRANGE(""https://docs.google.com/spreadsheets/d/1kVcqe37tkHyjCSG3S0O1AXqVkqjo8mSIZil3BcpIysc/edit?usp=sharing"",""ศูนย์!H45"")"),0)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1645500</v>
      </c>
      <c r="M345" s="155">
        <f t="shared" ca="1" si="155"/>
        <v>883550</v>
      </c>
      <c r="N345" s="155">
        <f t="shared" ca="1" si="155"/>
        <v>333496</v>
      </c>
      <c r="O345" s="155">
        <f t="shared" ref="O345:O353" ca="1" si="156">IF(L345&gt;0,N345*100/L345,0)</f>
        <v>20.267152841081739</v>
      </c>
      <c r="P345" s="155">
        <f t="shared" ref="P345:P353" ca="1" si="157">IF(M345&gt;0,N345*100/M345,0)</f>
        <v>37.745005941938771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1645500</v>
      </c>
      <c r="M347" s="93">
        <f t="shared" ca="1" si="158"/>
        <v>883550</v>
      </c>
      <c r="N347" s="93">
        <f t="shared" ca="1" si="158"/>
        <v>333496</v>
      </c>
      <c r="O347" s="93">
        <f t="shared" ca="1" si="156"/>
        <v>20.267152841081739</v>
      </c>
      <c r="P347" s="93">
        <f t="shared" ca="1" si="157"/>
        <v>37.745005941938771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1523900</v>
      </c>
      <c r="M348" s="496">
        <f t="shared" ca="1" si="159"/>
        <v>761950</v>
      </c>
      <c r="N348" s="496">
        <f t="shared" ca="1" si="159"/>
        <v>211896</v>
      </c>
      <c r="O348" s="496">
        <f t="shared" ca="1" si="156"/>
        <v>13.904849399566901</v>
      </c>
      <c r="P348" s="496">
        <f t="shared" ca="1" si="157"/>
        <v>27.809698799133802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IFERROR(__xludf.DUMMYFUNCTION("IMPORTRANGE(""https://docs.google.com/spreadsheets/d/1MeEWN-I1oV_STSDYn1IFDPWt_1FKiwhDph83XaGc0o0/edit?usp=sharing"",""งบพรบ!FB45"")"),761950)</f>
        <v>761950</v>
      </c>
      <c r="N350" s="93">
        <f ca="1">IFERROR(__xludf.DUMMYFUNCTION("IMPORTRANGE(""https://docs.google.com/spreadsheets/d/1MeEWN-I1oV_STSDYn1IFDPWt_1FKiwhDph83XaGc0o0/edit?usp=sharing"",""งบพรบ!FD45"")"),211896)</f>
        <v>211896</v>
      </c>
      <c r="O350" s="93">
        <f t="shared" ca="1" si="156"/>
        <v>13.904849399566901</v>
      </c>
      <c r="P350" s="93">
        <f t="shared" ca="1" si="157"/>
        <v>27.809698799133802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121600</v>
      </c>
      <c r="M351" s="496">
        <f t="shared" ca="1" si="160"/>
        <v>121600</v>
      </c>
      <c r="N351" s="496">
        <f t="shared" ca="1" si="160"/>
        <v>121600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IFERROR(__xludf.DUMMYFUNCTION("IMPORTRANGE(""https://docs.google.com/spreadsheets/d/1QqKyyYR6Q21VydFLVH3TRQUabQu_ym0Zz7PgGX0-kHA/edit?usp=sharing"",""แผน!EP45"")"),840)</f>
        <v>840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IFERROR(__xludf.DUMMYFUNCTION("IMPORTRANGE(""https://docs.google.com/spreadsheets/d/1XWAQStnk-4SwqDmLtmXYiTMKHgktTP8We1SCoS47DrQ/edit?usp=sharing"",""จัดที่ดิน!W45"")"),169)</f>
        <v>169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IFERROR(__xludf.DUMMYFUNCTION("IMPORTRANGE(""https://docs.google.com/spreadsheets/d/1QqKyyYR6Q21VydFLVH3TRQUabQu_ym0Zz7PgGX0-kHA/edit?usp=sharing"",""แผน!EO45"")"),10400)</f>
        <v>10400</v>
      </c>
      <c r="J359" s="269">
        <f ca="1">IFERROR(__xludf.DUMMYFUNCTION("IMPORTRANGE(""https://docs.google.com/spreadsheets/d/1XWAQStnk-4SwqDmLtmXYiTMKHgktTP8We1SCoS47DrQ/edit?usp=sharing"",""จัดที่ดิน!X45"")"),1575.41999999999)</f>
        <v>1575.4199999999901</v>
      </c>
      <c r="K359" s="496">
        <f t="shared" ca="1" si="161"/>
        <v>15.148269230769136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IFERROR(__xludf.DUMMYFUNCTION("IMPORTRANGE(""https://docs.google.com/spreadsheets/d/1QqKyyYR6Q21VydFLVH3TRQUabQu_ym0Zz7PgGX0-kHA/edit?usp=sharing"",""แผน!EP45"")"),840)</f>
        <v>840</v>
      </c>
      <c r="J360" s="269">
        <f ca="1">IFERROR(__xludf.DUMMYFUNCTION("IMPORTRANGE(""https://docs.google.com/spreadsheets/d/1XWAQStnk-4SwqDmLtmXYiTMKHgktTP8We1SCoS47DrQ/edit?usp=sharing"",""จัดที่ดิน!Y45"")"),128)</f>
        <v>128</v>
      </c>
      <c r="K360" s="496">
        <f t="shared" ca="1" si="161"/>
        <v>15.238095238095237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IFERROR(__xludf.DUMMYFUNCTION("IMPORTRANGE(""https://docs.google.com/spreadsheets/d/1XWAQStnk-4SwqDmLtmXYiTMKHgktTP8We1SCoS47DrQ/edit?usp=sharing"",""จัดที่ดิน!Z45"")"),1077.62)</f>
        <v>1077.6199999999999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IFERROR(__xludf.DUMMYFUNCTION("IMPORTRANGE(""https://docs.google.com/spreadsheets/d/1QqKyyYR6Q21VydFLVH3TRQUabQu_ym0Zz7PgGX0-kHA/edit?usp=sharing"",""แผน!EP45"")"),840)</f>
        <v>840</v>
      </c>
      <c r="J362" s="269">
        <f ca="1">IFERROR(__xludf.DUMMYFUNCTION("IMPORTRANGE(""https://docs.google.com/spreadsheets/d/1XWAQStnk-4SwqDmLtmXYiTMKHgktTP8We1SCoS47DrQ/edit?usp=sharing"",""จัดที่ดิน!AA45"")"),0)</f>
        <v>0</v>
      </c>
      <c r="K362" s="496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IFERROR(__xludf.DUMMYFUNCTION("IMPORTRANGE(""https://docs.google.com/spreadsheets/d/1XWAQStnk-4SwqDmLtmXYiTMKHgktTP8We1SCoS47DrQ/edit?usp=sharing"",""จัดที่ดิน!AB45"")"),0)</f>
        <v>0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1890</v>
      </c>
      <c r="J364" s="477">
        <f t="shared" ca="1" si="162"/>
        <v>0</v>
      </c>
      <c r="K364" s="478">
        <f t="shared" ca="1" si="161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IFERROR(__xludf.DUMMYFUNCTION("IMPORTRANGE(""https://docs.google.com/spreadsheets/d/1QqKyyYR6Q21VydFLVH3TRQUabQu_ym0Zz7PgGX0-kHA/edit?usp=sharing"",""แผน!EJ45"")"),370)</f>
        <v>370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IFERROR(__xludf.DUMMYFUNCTION("IMPORTRANGE(""https://docs.google.com/spreadsheets/d/1XWAQStnk-4SwqDmLtmXYiTMKHgktTP8We1SCoS47DrQ/edit?usp=sharing"",""จัดที่ดิน!E45"")"),35)</f>
        <v>35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IFERROR(__xludf.DUMMYFUNCTION("IMPORTRANGE(""https://docs.google.com/spreadsheets/d/1QqKyyYR6Q21VydFLVH3TRQUabQu_ym0Zz7PgGX0-kHA/edit?usp=sharing"",""แผน!EI45"")"),3700)</f>
        <v>3700</v>
      </c>
      <c r="J369" s="269">
        <f ca="1">IFERROR(__xludf.DUMMYFUNCTION("IMPORTRANGE(""https://docs.google.com/spreadsheets/d/1XWAQStnk-4SwqDmLtmXYiTMKHgktTP8We1SCoS47DrQ/edit?usp=sharing"",""จัดที่ดิน!F45"")"),484.55)</f>
        <v>484.55</v>
      </c>
      <c r="K369" s="496">
        <f t="shared" ca="1" si="163"/>
        <v>13.095945945945946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IFERROR(__xludf.DUMMYFUNCTION("IMPORTRANGE(""https://docs.google.com/spreadsheets/d/1QqKyyYR6Q21VydFLVH3TRQUabQu_ym0Zz7PgGX0-kHA/edit?usp=sharing"",""แผน!EJ45"")"),370)</f>
        <v>370</v>
      </c>
      <c r="J370" s="269">
        <f ca="1">IFERROR(__xludf.DUMMYFUNCTION("IMPORTRANGE(""https://docs.google.com/spreadsheets/d/1XWAQStnk-4SwqDmLtmXYiTMKHgktTP8We1SCoS47DrQ/edit?usp=sharing"",""จัดที่ดิน!G45"")"),0)</f>
        <v>0</v>
      </c>
      <c r="K370" s="496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IFERROR(__xludf.DUMMYFUNCTION("IMPORTRANGE(""https://docs.google.com/spreadsheets/d/1XWAQStnk-4SwqDmLtmXYiTMKHgktTP8We1SCoS47DrQ/edit?usp=sharing"",""จัดที่ดิน!H45"")"),0)</f>
        <v>0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IFERROR(__xludf.DUMMYFUNCTION("IMPORTRANGE(""https://docs.google.com/spreadsheets/d/1QqKyyYR6Q21VydFLVH3TRQUabQu_ym0Zz7PgGX0-kHA/edit?usp=sharing"",""แผน!EJ45"")"),370)</f>
        <v>370</v>
      </c>
      <c r="J372" s="269">
        <f ca="1">IFERROR(__xludf.DUMMYFUNCTION("IMPORTRANGE(""https://docs.google.com/spreadsheets/d/1XWAQStnk-4SwqDmLtmXYiTMKHgktTP8We1SCoS47DrQ/edit?usp=sharing"",""จัดที่ดิน!I45"")"),0)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IFERROR(__xludf.DUMMYFUNCTION("IMPORTRANGE(""https://docs.google.com/spreadsheets/d/1XWAQStnk-4SwqDmLtmXYiTMKHgktTP8We1SCoS47DrQ/edit?usp=sharing"",""จัดที่ดิน!J45"")"),0)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IFERROR(__xludf.DUMMYFUNCTION("IMPORTRANGE(""https://docs.google.com/spreadsheets/d/1QqKyyYR6Q21VydFLVH3TRQUabQu_ym0Zz7PgGX0-kHA/edit?usp=sharing"",""แผน!EU45"")"),1520)</f>
        <v>1520</v>
      </c>
      <c r="J374" s="489">
        <f ca="1">J381</f>
        <v>0</v>
      </c>
      <c r="K374" s="490">
        <f t="shared" ca="1" si="163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IFERROR(__xludf.DUMMYFUNCTION("IMPORTRANGE(""https://docs.google.com/spreadsheets/d/1XWAQStnk-4SwqDmLtmXYiTMKHgktTP8We1SCoS47DrQ/edit?usp=sharing"",""จัดที่ดิน!AH45"")"),134)</f>
        <v>134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IFERROR(__xludf.DUMMYFUNCTION("IMPORTRANGE(""https://docs.google.com/spreadsheets/d/1QqKyyYR6Q21VydFLVH3TRQUabQu_ym0Zz7PgGX0-kHA/edit?usp=sharing"",""แผน!ET45"")"),6700)</f>
        <v>6700</v>
      </c>
      <c r="J378" s="269">
        <f ca="1">IFERROR(__xludf.DUMMYFUNCTION("IMPORTRANGE(""https://docs.google.com/spreadsheets/d/1XWAQStnk-4SwqDmLtmXYiTMKHgktTP8We1SCoS47DrQ/edit?usp=sharing"",""จัดที่ดิน!AI45"")"),1090.87)</f>
        <v>1090.8699999999999</v>
      </c>
      <c r="K378" s="496">
        <f t="shared" ca="1" si="164"/>
        <v>16.281641791044773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IFERROR(__xludf.DUMMYFUNCTION("IMPORTRANGE(""https://docs.google.com/spreadsheets/d/1QqKyyYR6Q21VydFLVH3TRQUabQu_ym0Zz7PgGX0-kHA/edit?usp=sharing"",""แผน!EU45"")"),1520)</f>
        <v>1520</v>
      </c>
      <c r="J379" s="269">
        <f ca="1">IFERROR(__xludf.DUMMYFUNCTION("IMPORTRANGE(""https://docs.google.com/spreadsheets/d/1XWAQStnk-4SwqDmLtmXYiTMKHgktTP8We1SCoS47DrQ/edit?usp=sharing"",""จัดที่ดิน!AJ45"")"),129)</f>
        <v>129</v>
      </c>
      <c r="K379" s="496">
        <f t="shared" ca="1" si="164"/>
        <v>8.4868421052631575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IFERROR(__xludf.DUMMYFUNCTION("IMPORTRANGE(""https://docs.google.com/spreadsheets/d/1XWAQStnk-4SwqDmLtmXYiTMKHgktTP8We1SCoS47DrQ/edit?usp=sharing"",""จัดที่ดิน!AK45"")"),1096.26)</f>
        <v>1096.26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IFERROR(__xludf.DUMMYFUNCTION("IMPORTRANGE(""https://docs.google.com/spreadsheets/d/1QqKyyYR6Q21VydFLVH3TRQUabQu_ym0Zz7PgGX0-kHA/edit?usp=sharing"",""แผน!EU45"")"),1520)</f>
        <v>1520</v>
      </c>
      <c r="J381" s="269">
        <f ca="1">IFERROR(__xludf.DUMMYFUNCTION("IMPORTRANGE(""https://docs.google.com/spreadsheets/d/1XWAQStnk-4SwqDmLtmXYiTMKHgktTP8We1SCoS47DrQ/edit?usp=sharing"",""จัดที่ดิน!AL45"")"),0)</f>
        <v>0</v>
      </c>
      <c r="K381" s="496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IFERROR(__xludf.DUMMYFUNCTION("IMPORTRANGE(""https://docs.google.com/spreadsheets/d/1XWAQStnk-4SwqDmLtmXYiTMKHgktTP8We1SCoS47DrQ/edit?usp=sharing"",""จัดที่ดิน!AM45"")"),0)</f>
        <v>0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IFERROR(__xludf.DUMMYFUNCTION("IMPORTRANGE(""https://docs.google.com/spreadsheets/d/1QqKyyYR6Q21VydFLVH3TRQUabQu_ym0Zz7PgGX0-kHA/edit?usp=sharing"",""แผน!EW45"")"),150)</f>
        <v>150</v>
      </c>
      <c r="J385" s="499">
        <f ca="1">IFERROR(__xludf.DUMMYFUNCTION("IMPORTRANGE(""https://docs.google.com/spreadsheets/d/1XWAQStnk-4SwqDmLtmXYiTMKHgktTP8We1SCoS47DrQ/edit?usp=sharing"",""จัดที่ดิน!AP45"")"),0)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2750955</v>
      </c>
      <c r="M414" s="547">
        <f t="shared" si="181"/>
        <v>0</v>
      </c>
      <c r="N414" s="547">
        <f t="shared" si="181"/>
        <v>98600</v>
      </c>
      <c r="O414" s="547">
        <f ca="1">IF(L414&gt;0,N414*100/L414,0)</f>
        <v>3.5842098471258161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0</v>
      </c>
      <c r="O422" s="496">
        <f t="shared" ca="1" si="185"/>
        <v>0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IFERROR(__xludf.DUMMYFUNCTION("IMPORTRANGE(""https://docs.google.com/spreadsheets/d/1QqKyyYR6Q21VydFLVH3TRQUabQu_ym0Zz7PgGX0-kHA/edit?usp=sharing"",""แผน!EY45"")"),78660)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/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IFERROR(__xludf.DUMMYFUNCTION("IMPORTRANGE(""https://docs.google.com/spreadsheets/d/1QqKyyYR6Q21VydFLVH3TRQUabQu_ym0Zz7PgGX0-kHA/edit?usp=sharing"",""แผน!FC45"")"),20)</f>
        <v>20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IFERROR(__xludf.DUMMYFUNCTION("IMPORTRANGE(""https://docs.google.com/spreadsheets/d/1QqKyyYR6Q21VydFLVH3TRQUabQu_ym0Zz7PgGX0-kHA/edit?usp=sharing"",""แผน!FD45"")"),0)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IFERROR(__xludf.DUMMYFUNCTION("IMPORTRANGE(""https://docs.google.com/spreadsheets/d/1QqKyyYR6Q21VydFLVH3TRQUabQu_ym0Zz7PgGX0-kHA/edit?usp=sharing"",""แผน!FE45"")"),0)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IFERROR(__xludf.DUMMYFUNCTION("IMPORTRANGE(""https://docs.google.com/spreadsheets/d/1QqKyyYR6Q21VydFLVH3TRQUabQu_ym0Zz7PgGX0-kHA/edit?usp=sharing"",""แผน!FF45"")"),20)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IFERROR(__xludf.DUMMYFUNCTION("IMPORTRANGE(""https://docs.google.com/spreadsheets/d/1QqKyyYR6Q21VydFLVH3TRQUabQu_ym0Zz7PgGX0-kHA/edit?usp=sharing"",""แผน!FG45"")"),1)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IFERROR(__xludf.DUMMYFUNCTION("IMPORTRANGE(""https://docs.google.com/spreadsheets/d/1QqKyyYR6Q21VydFLVH3TRQUabQu_ym0Zz7PgGX0-kHA/edit?usp=sharing"",""แผน!FH45"")"),0)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70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180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468800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468800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468800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IFERROR(__xludf.DUMMYFUNCTION("IMPORTRANGE(""https://docs.google.com/spreadsheets/d/1QqKyyYR6Q21VydFLVH3TRQUabQu_ym0Zz7PgGX0-kHA/edit?usp=sharing"",""แผน!FN45"")"),70)</f>
        <v>70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IFERROR(__xludf.DUMMYFUNCTION("IMPORTRANGE(""https://docs.google.com/spreadsheets/d/1QqKyyYR6Q21VydFLVH3TRQUabQu_ym0Zz7PgGX0-kHA/edit?usp=sharing"",""แผน!FO45"")"),180)</f>
        <v>180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IFERROR(__xludf.DUMMYFUNCTION("IMPORTRANGE(""https://docs.google.com/spreadsheets/d/1QqKyyYR6Q21VydFLVH3TRQUabQu_ym0Zz7PgGX0-kHA/edit?usp=sharing"",""แผน!FO45"")"),180)</f>
        <v>180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IFERROR(__xludf.DUMMYFUNCTION("IMPORTRANGE(""https://docs.google.com/spreadsheets/d/1QqKyyYR6Q21VydFLVH3TRQUabQu_ym0Zz7PgGX0-kHA/edit?usp=sharing"",""แผน!FN45"")"),70)</f>
        <v>70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IFERROR(__xludf.DUMMYFUNCTION("IMPORTRANGE(""https://docs.google.com/spreadsheets/d/1QqKyyYR6Q21VydFLVH3TRQUabQu_ym0Zz7PgGX0-kHA/edit?usp=sharing"",""แผน!FX45"")"),61)</f>
        <v>61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IFERROR(__xludf.DUMMYFUNCTION("IMPORTRANGE(""https://docs.google.com/spreadsheets/d/1QqKyyYR6Q21VydFLVH3TRQUabQu_ym0Zz7PgGX0-kHA/edit?usp=sharing"",""แผน!FW45"")"),600)</f>
        <v>600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481323</v>
      </c>
      <c r="M467" s="195">
        <f t="shared" si="206"/>
        <v>0</v>
      </c>
      <c r="N467" s="195">
        <f t="shared" si="206"/>
        <v>12290</v>
      </c>
      <c r="O467" s="195">
        <f t="shared" ref="O467:O472" ca="1" si="207">IF(L467&gt;0,N467*100/L467,0)</f>
        <v>2.5533789160293607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481323</v>
      </c>
      <c r="M469" s="93">
        <f t="shared" si="209"/>
        <v>0</v>
      </c>
      <c r="N469" s="93">
        <f t="shared" si="209"/>
        <v>12290</v>
      </c>
      <c r="O469" s="93">
        <f t="shared" ca="1" si="207"/>
        <v>2.5533789160293607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481323</v>
      </c>
      <c r="M470" s="496">
        <f t="shared" si="210"/>
        <v>0</v>
      </c>
      <c r="N470" s="496">
        <f t="shared" si="210"/>
        <v>12290</v>
      </c>
      <c r="O470" s="496">
        <f t="shared" ca="1" si="207"/>
        <v>2.5533789160293607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IFERROR(__xludf.DUMMYFUNCTION("IMPORTRANGE(""https://docs.google.com/spreadsheets/d/1QqKyyYR6Q21VydFLVH3TRQUabQu_ym0Zz7PgGX0-kHA/edit?usp=sharing"",""แผน!FS45"")"),481323)</f>
        <v>481323</v>
      </c>
      <c r="M472" s="93">
        <v>0</v>
      </c>
      <c r="N472" s="93">
        <f>N473+N474+N475+N476</f>
        <v>12290</v>
      </c>
      <c r="O472" s="93">
        <f t="shared" ca="1" si="207"/>
        <v>2.5533789160293607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12290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IFERROR(__xludf.DUMMYFUNCTION("IMPORTRANGE(""https://docs.google.com/spreadsheets/d/1QqKyyYR6Q21VydFLVH3TRQUabQu_ym0Zz7PgGX0-kHA/edit?usp=sharing"",""แผน!FY45"")"),540)</f>
        <v>540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IFERROR(__xludf.DUMMYFUNCTION("IMPORTRANGE(""https://docs.google.com/spreadsheets/d/1QqKyyYR6Q21VydFLVH3TRQUabQu_ym0Zz7PgGX0-kHA/edit?usp=sharing"",""แผน!FZ45"")"),54)</f>
        <v>54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IFERROR(__xludf.DUMMYFUNCTION("IMPORTRANGE(""https://docs.google.com/spreadsheets/d/1QqKyyYR6Q21VydFLVH3TRQUabQu_ym0Zz7PgGX0-kHA/edit?usp=sharing"",""แผน!GA45"")"),60)</f>
        <v>60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IFERROR(__xludf.DUMMYFUNCTION("IMPORTRANGE(""https://docs.google.com/spreadsheets/d/1QqKyyYR6Q21VydFLVH3TRQUabQu_ym0Zz7PgGX0-kHA/edit?usp=sharing"",""แผน!GB45"")"),6)</f>
        <v>6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IFERROR(__xludf.DUMMYFUNCTION("IMPORTRANGE(""https://docs.google.com/spreadsheets/d/1QqKyyYR6Q21VydFLVH3TRQUabQu_ym0Zz7PgGX0-kHA/edit?usp=sharing"",""แผน!GC45"")"),1)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IFERROR(__xludf.DUMMYFUNCTION("IMPORTRANGE(""https://docs.google.com/spreadsheets/d/1QqKyyYR6Q21VydFLVH3TRQUabQu_ym0Zz7PgGX0-kHA/edit?usp=sharing"",""แผน!FY45"")"),540)</f>
        <v>540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IFERROR(__xludf.DUMMYFUNCTION("IMPORTRANGE(""https://docs.google.com/spreadsheets/d/1QqKyyYR6Q21VydFLVH3TRQUabQu_ym0Zz7PgGX0-kHA/edit?usp=sharing"",""แผน!GA45"")"),60)</f>
        <v>60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IFERROR(__xludf.DUMMYFUNCTION("IMPORTRANGE(""https://docs.google.com/spreadsheets/d/1QqKyyYR6Q21VydFLVH3TRQUabQu_ym0Zz7PgGX0-kHA/edit?usp=sharing"",""แผน!GU45"")"),0)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IFERROR(__xludf.DUMMYFUNCTION("IMPORTRANGE(""https://docs.google.com/spreadsheets/d/1QqKyyYR6Q21VydFLVH3TRQUabQu_ym0Zz7PgGX0-kHA/edit?usp=sharing"",""แผน!GV45"")"),0)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IFERROR(__xludf.DUMMYFUNCTION("IMPORTRANGE(""https://docs.google.com/spreadsheets/d/1QqKyyYR6Q21VydFLVH3TRQUabQu_ym0Zz7PgGX0-kHA/edit?usp=sharing"",""แผน!GW45"")"),0)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IFERROR(__xludf.DUMMYFUNCTION("IMPORTRANGE(""https://docs.google.com/spreadsheets/d/1QqKyyYR6Q21VydFLVH3TRQUabQu_ym0Zz7PgGX0-kHA/edit?usp=sharing"",""แผน!GX45"")"),0)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IFERROR(__xludf.DUMMYFUNCTION("IMPORTRANGE(""https://docs.google.com/spreadsheets/d/1QqKyyYR6Q21VydFLVH3TRQUabQu_ym0Zz7PgGX0-kHA/edit?usp=sharing"",""แผน!GY45"")"),0)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IFERROR(__xludf.DUMMYFUNCTION("IMPORTRANGE(""https://docs.google.com/spreadsheets/d/1QqKyyYR6Q21VydFLVH3TRQUabQu_ym0Zz7PgGX0-kHA/edit?usp=sharing"",""แผน!GZ45"")"),0)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59640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366682</v>
      </c>
      <c r="M544" s="155">
        <f t="shared" si="236"/>
        <v>0</v>
      </c>
      <c r="N544" s="155">
        <f t="shared" si="236"/>
        <v>39180</v>
      </c>
      <c r="O544" s="155">
        <f t="shared" ref="O544:O549" ca="1" si="237">IF(L544&gt;0,N544*100/L544,0)</f>
        <v>10.685007717859071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366682</v>
      </c>
      <c r="M546" s="93">
        <f t="shared" si="240"/>
        <v>0</v>
      </c>
      <c r="N546" s="93">
        <f t="shared" si="240"/>
        <v>39180</v>
      </c>
      <c r="O546" s="93">
        <f t="shared" ca="1" si="237"/>
        <v>10.685007717859071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366682</v>
      </c>
      <c r="M547" s="496">
        <f t="shared" si="241"/>
        <v>0</v>
      </c>
      <c r="N547" s="496">
        <f t="shared" si="241"/>
        <v>39180</v>
      </c>
      <c r="O547" s="496">
        <f t="shared" ca="1" si="237"/>
        <v>10.685007717859071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IFERROR(__xludf.DUMMYFUNCTION("IMPORTRANGE(""https://docs.google.com/spreadsheets/d/1QqKyyYR6Q21VydFLVH3TRQUabQu_ym0Zz7PgGX0-kHA/edit?usp=sharing"",""แผน!HB45"")"),366682)</f>
        <v>366682</v>
      </c>
      <c r="M549" s="93">
        <v>0</v>
      </c>
      <c r="N549" s="93">
        <f>N550+N551+N552+N553+N554</f>
        <v>39180</v>
      </c>
      <c r="O549" s="93">
        <f t="shared" ca="1" si="237"/>
        <v>10.685007717859071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39180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59640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IFERROR(__xludf.DUMMYFUNCTION("IMPORTRANGE(""https://docs.google.com/spreadsheets/d/1QqKyyYR6Q21VydFLVH3TRQUabQu_ym0Zz7PgGX0-kHA/edit?usp=sharing"",""แผน!HH45"")"),59640)</f>
        <v>59640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IFERROR(__xludf.DUMMYFUNCTION("IMPORTRANGE(""https://docs.google.com/spreadsheets/d/1QqKyyYR6Q21VydFLVH3TRQUabQu_ym0Zz7PgGX0-kHA/edit?usp=sharing"",""แผน!HH45"")"),59640)</f>
        <v>59640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IFERROR(__xludf.DUMMYFUNCTION("IMPORTRANGE(""https://docs.google.com/spreadsheets/d/1QqKyyYR6Q21VydFLVH3TRQUabQu_ym0Zz7PgGX0-kHA/edit?usp=sharing"",""แผน!HH45"")"),59640)</f>
        <v>59640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0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IFERROR(__xludf.DUMMYFUNCTION("IMPORTRANGE(""https://docs.google.com/spreadsheets/d/1QqKyyYR6Q21VydFLVH3TRQUabQu_ym0Zz7PgGX0-kHA/edit?usp=sharing"",""แผน!HJ45"")"),0)</f>
        <v>0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IFERROR(__xludf.DUMMYFUNCTION("IMPORTRANGE(""https://docs.google.com/spreadsheets/d/1QqKyyYR6Q21VydFLVH3TRQUabQu_ym0Zz7PgGX0-kHA/edit?usp=sharing"",""แผน!HI45"")"),0)</f>
        <v>0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IFERROR(__xludf.DUMMYFUNCTION("IMPORTRANGE(""https://docs.google.com/spreadsheets/d/1QqKyyYR6Q21VydFLVH3TRQUabQu_ym0Zz7PgGX0-kHA/edit?usp=sharing"",""แผน!HL45"")"),0)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IFERROR(__xludf.DUMMYFUNCTION("IMPORTRANGE(""https://docs.google.com/spreadsheets/d/1QqKyyYR6Q21VydFLVH3TRQUabQu_ym0Zz7PgGX0-kHA/edit?usp=sharing"",""แผน!HK45"")"),0)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1200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1155630</v>
      </c>
      <c r="M629" s="195">
        <f t="shared" si="263"/>
        <v>0</v>
      </c>
      <c r="N629" s="195">
        <f t="shared" si="263"/>
        <v>16730</v>
      </c>
      <c r="O629" s="195">
        <f t="shared" ref="O629:O634" ca="1" si="264">IF(L629&gt;0,N629*100/L629,0)</f>
        <v>1.4476951965594524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1155630</v>
      </c>
      <c r="M631" s="93">
        <f t="shared" si="266"/>
        <v>0</v>
      </c>
      <c r="N631" s="93">
        <f t="shared" si="266"/>
        <v>16730</v>
      </c>
      <c r="O631" s="93">
        <f t="shared" ca="1" si="264"/>
        <v>1.4476951965594524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1155630</v>
      </c>
      <c r="M632" s="496">
        <f t="shared" si="267"/>
        <v>0</v>
      </c>
      <c r="N632" s="496">
        <f t="shared" si="267"/>
        <v>16730</v>
      </c>
      <c r="O632" s="496">
        <f t="shared" ca="1" si="264"/>
        <v>1.4476951965594524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v>0</v>
      </c>
      <c r="N634" s="93">
        <f>N635+N636+N637+N638</f>
        <v>16730</v>
      </c>
      <c r="O634" s="93">
        <f t="shared" ca="1" si="264"/>
        <v>1.4476951965594524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/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16730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IFERROR(__xludf.DUMMYFUNCTION("IMPORTRANGE(""https://docs.google.com/spreadsheets/d/1QqKyyYR6Q21VydFLVH3TRQUabQu_ym0Zz7PgGX0-kHA/edit?usp=sharing"",""แผน!HR45"")"),0)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IFERROR(__xludf.DUMMYFUNCTION("IMPORTRANGE(""https://docs.google.com/spreadsheets/d/1QqKyyYR6Q21VydFLVH3TRQUabQu_ym0Zz7PgGX0-kHA/edit?usp=sharing"",""แผน!HR45"")"),0)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IFERROR(__xludf.DUMMYFUNCTION("IMPORTRANGE(""https://docs.google.com/spreadsheets/d/1XWAQStnk-4SwqDmLtmXYiTMKHgktTP8We1SCoS47DrQ/edit?usp=sharing"",""จัดที่ดิน!AS45"")"),98)</f>
        <v>98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IFERROR(__xludf.DUMMYFUNCTION("IMPORTRANGE(""https://docs.google.com/spreadsheets/d/1XWAQStnk-4SwqDmLtmXYiTMKHgktTP8We1SCoS47DrQ/edit?usp=sharing"",""จัดที่ดิน!AT45"")"),52.65)</f>
        <v>52.65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IFERROR(__xludf.DUMMYFUNCTION("IMPORTRANGE(""https://docs.google.com/spreadsheets/d/1QqKyyYR6Q21VydFLVH3TRQUabQu_ym0Zz7PgGX0-kHA/edit?usp=sharing"",""แผน!HS45"")"),1200)</f>
        <v>1200</v>
      </c>
      <c r="J647" s="269">
        <f ca="1">IFERROR(__xludf.DUMMYFUNCTION("IMPORTRANGE(""https://docs.google.com/spreadsheets/d/1XWAQStnk-4SwqDmLtmXYiTMKHgktTP8We1SCoS47DrQ/edit?usp=sharing"",""จัดที่ดิน!AU45"")"),31)</f>
        <v>31</v>
      </c>
      <c r="K647" s="163">
        <f t="shared" ca="1" si="271"/>
        <v>2.5833333333333335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IFERROR(__xludf.DUMMYFUNCTION("IMPORTRANGE(""https://docs.google.com/spreadsheets/d/1XWAQStnk-4SwqDmLtmXYiTMKHgktTP8We1SCoS47DrQ/edit?usp=sharing"",""จัดที่ดิน!AV45"")"),17.96)</f>
        <v>17.96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IFERROR(__xludf.DUMMYFUNCTION("IMPORTRANGE(""https://docs.google.com/spreadsheets/d/1QqKyyYR6Q21VydFLVH3TRQUabQu_ym0Zz7PgGX0-kHA/edit?usp=sharing"",""แผน!HS45"")"),1200)</f>
        <v>1200</v>
      </c>
      <c r="J649" s="269">
        <f ca="1">IFERROR(__xludf.DUMMYFUNCTION("IMPORTRANGE(""https://docs.google.com/spreadsheets/d/1XWAQStnk-4SwqDmLtmXYiTMKHgktTP8We1SCoS47DrQ/edit?usp=sharing"",""จัดที่ดิน!AW45"")"),0)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IFERROR(__xludf.DUMMYFUNCTION("IMPORTRANGE(""https://docs.google.com/spreadsheets/d/1XWAQStnk-4SwqDmLtmXYiTMKHgktTP8We1SCoS47DrQ/edit?usp=sharing"",""จัดที่ดิน!AX45"")"),0)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IFERROR(__xludf.DUMMYFUNCTION("IMPORTRANGE(""https://docs.google.com/spreadsheets/d/1QqKyyYR6Q21VydFLVH3TRQUabQu_ym0Zz7PgGX0-kHA/edit?usp=sharing"",""แผน!HS45"")"),1200)</f>
        <v>1200</v>
      </c>
      <c r="J651" s="269">
        <f ca="1">IFERROR(__xludf.DUMMYFUNCTION("IMPORTRANGE(""https://docs.google.com/spreadsheets/d/1XWAQStnk-4SwqDmLtmXYiTMKHgktTP8We1SCoS47DrQ/edit?usp=sharing"",""จัดที่ดิน!AY45"")"),0)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IFERROR(__xludf.DUMMYFUNCTION("IMPORTRANGE(""https://docs.google.com/spreadsheets/d/1XWAQStnk-4SwqDmLtmXYiTMKHgktTP8We1SCoS47DrQ/edit?usp=sharing"",""จัดที่ดิน!AZ45"")"),0)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IFERROR(__xludf.DUMMYFUNCTION("IMPORTRANGE(""https://docs.google.com/spreadsheets/d/1QqKyyYR6Q21VydFLVH3TRQUabQu_ym0Zz7PgGX0-kHA/edit?usp=sharing"",""แผน!IA45"")"),0)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IFERROR(__xludf.DUMMYFUNCTION("IMPORTRANGE(""https://docs.google.com/spreadsheets/d/1QqKyyYR6Q21VydFLVH3TRQUabQu_ym0Zz7PgGX0-kHA/edit?usp=sharing"",""แผน!HZ45"")"),0)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IFERROR(__xludf.DUMMYFUNCTION("IMPORTRANGE(""https://docs.google.com/spreadsheets/d/1QqKyyYR6Q21VydFLVH3TRQUabQu_ym0Zz7PgGX0-kHA/edit?usp=sharing"",""แผน!HZ45"")"),0)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IFERROR(__xludf.DUMMYFUNCTION("IMPORTRANGE(""https://docs.google.com/spreadsheets/d/1QqKyyYR6Q21VydFLVH3TRQUabQu_ym0Zz7PgGX0-kHA/edit?usp=sharing"",""แผน!IB45"")"),0)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1940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1940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1940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IFERROR(__xludf.DUMMYFUNCTION("IMPORTRANGE(""https://docs.google.com/spreadsheets/d/1QqKyyYR6Q21VydFLVH3TRQUabQu_ym0Zz7PgGX0-kHA/edit?usp=sharing"",""แผน!IC45"")"),0)</f>
        <v>0</v>
      </c>
      <c r="J699" s="269">
        <f ca="1">IFERROR(__xludf.DUMMYFUNCTION("IMPORTRANGE(""https://docs.google.com/spreadsheets/d/1XWAQStnk-4SwqDmLtmXYiTMKHgktTP8We1SCoS47DrQ/edit?usp=sharing"",""จัดที่ดิน!BB45"")"),0)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IFERROR(__xludf.DUMMYFUNCTION("IMPORTRANGE(""https://docs.google.com/spreadsheets/d/1QqKyyYR6Q21VydFLVH3TRQUabQu_ym0Zz7PgGX0-kHA/edit?usp=sharing"",""แผน!ID45"")"),0)</f>
        <v>0</v>
      </c>
      <c r="J700" s="269">
        <f ca="1">IFERROR(__xludf.DUMMYFUNCTION("IMPORTRANGE(""https://docs.google.com/spreadsheets/d/1XWAQStnk-4SwqDmLtmXYiTMKHgktTP8We1SCoS47DrQ/edit?usp=sharing"",""จัดที่ดิน!BD45"")"),0)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IFERROR(__xludf.DUMMYFUNCTION("IMPORTRANGE(""https://docs.google.com/spreadsheets/d/1QqKyyYR6Q21VydFLVH3TRQUabQu_ym0Zz7PgGX0-kHA/edit?usp=sharing"",""แผน!IE45"")"),47)</f>
        <v>47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IFERROR(__xludf.DUMMYFUNCTION("IMPORTRANGE(""https://docs.google.com/spreadsheets/d/1QqKyyYR6Q21VydFLVH3TRQUabQu_ym0Zz7PgGX0-kHA/edit?usp=sharing"",""แผน!IF45"")"),0)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IFERROR(__xludf.DUMMYFUNCTION("IMPORTRANGE(""https://docs.google.com/spreadsheets/d/1QqKyyYR6Q21VydFLVH3TRQUabQu_ym0Zz7PgGX0-kHA/edit?usp=sharing"",""แผน!IG45"")"),47)</f>
        <v>47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IFERROR(__xludf.DUMMYFUNCTION("IMPORTRANGE(""https://docs.google.com/spreadsheets/d/1QqKyyYR6Q21VydFLVH3TRQUabQu_ym0Zz7PgGX0-kHA/edit?usp=sharing"",""แผน!IH45"")"),0)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IFERROR(__xludf.DUMMYFUNCTION("IMPORTRANGE(""https://docs.google.com/spreadsheets/d/1XWAQStnk-4SwqDmLtmXYiTMKHgktTP8We1SCoS47DrQ/edit?usp=sharing"",""จัดที่ดิน!BF45"")"),0)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IFERROR(__xludf.DUMMYFUNCTION("IMPORTRANGE(""https://docs.google.com/spreadsheets/d/1XWAQStnk-4SwqDmLtmXYiTMKHgktTP8We1SCoS47DrQ/edit?usp=sharing"",""จัดที่ดิน!BG45"")"),0)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IFERROR(__xludf.DUMMYFUNCTION("IMPORTRANGE(""https://docs.google.com/spreadsheets/d/1QqKyyYR6Q21VydFLVH3TRQUabQu_ym0Zz7PgGX0-kHA/edit?usp=sharing"",""แผน!II45"")"),0)</f>
        <v>0</v>
      </c>
      <c r="J720" s="269">
        <f ca="1">IFERROR(__xludf.DUMMYFUNCTION("IMPORTRANGE(""https://docs.google.com/spreadsheets/d/1XWAQStnk-4SwqDmLtmXYiTMKHgktTP8We1SCoS47DrQ/edit?usp=sharing"",""จัดที่ดิน!BH45"")"),0)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IFERROR(__xludf.DUMMYFUNCTION("IMPORTRANGE(""https://docs.google.com/spreadsheets/d/1QqKyyYR6Q21VydFLVH3TRQUabQu_ym0Zz7PgGX0-kHA/edit?usp=sharing"",""แผน!IJ45"")"),0)</f>
        <v>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IFERROR(__xludf.DUMMYFUNCTION("IMPORTRANGE(""https://docs.google.com/spreadsheets/d/1QqKyyYR6Q21VydFLVH3TRQUabQu_ym0Zz7PgGX0-kHA/edit?usp=sharing"",""แผน!IK45"")"),0)</f>
        <v>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IFERROR(__xludf.DUMMYFUNCTION("IMPORTRANGE(""https://docs.google.com/spreadsheets/d/1QqKyyYR6Q21VydFLVH3TRQUabQu_ym0Zz7PgGX0-kHA/edit?usp=sharing"",""แผน!IL45"")"),0)</f>
        <v>0</v>
      </c>
      <c r="J723" s="269">
        <f ca="1">IFERROR(__xludf.DUMMYFUNCTION("IMPORTRANGE(""https://docs.google.com/spreadsheets/d/1XWAQStnk-4SwqDmLtmXYiTMKHgktTP8We1SCoS47DrQ/edit?usp=sharing"",""จัดที่ดิน!BM45"")"),0)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IFERROR(__xludf.DUMMYFUNCTION("IMPORTRANGE(""https://docs.google.com/spreadsheets/d/1XWAQStnk-4SwqDmLtmXYiTMKHgktTP8We1SCoS47DrQ/edit?usp=sharing"",""จัดที่ดิน!BN45"")"),0)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IFERROR(__xludf.DUMMYFUNCTION("IMPORTRANGE(""https://docs.google.com/spreadsheets/d/1QqKyyYR6Q21VydFLVH3TRQUabQu_ym0Zz7PgGX0-kHA/edit?usp=sharing"",""แผน!IM45"")"),0)</f>
        <v>0</v>
      </c>
      <c r="J725" s="269">
        <f ca="1">IFERROR(__xludf.DUMMYFUNCTION("IMPORTRANGE(""https://docs.google.com/spreadsheets/d/1XWAQStnk-4SwqDmLtmXYiTMKHgktTP8We1SCoS47DrQ/edit?usp=sharing"",""จัดที่ดิน!BO45"")"),0)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IFERROR(__xludf.DUMMYFUNCTION("IMPORTRANGE(""https://docs.google.com/spreadsheets/d/1QqKyyYR6Q21VydFLVH3TRQUabQu_ym0Zz7PgGX0-kHA/edit?usp=sharing"",""แผน!IN45"")"),0)</f>
        <v>0</v>
      </c>
      <c r="J726" s="269">
        <f ca="1">IFERROR(__xludf.DUMMYFUNCTION("IMPORTRANGE(""https://docs.google.com/spreadsheets/d/1XWAQStnk-4SwqDmLtmXYiTMKHgktTP8We1SCoS47DrQ/edit?usp=sharing"",""จัดที่ดิน!BR45"")"),0)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IFERROR(__xludf.DUMMYFUNCTION("IMPORTRANGE(""https://docs.google.com/spreadsheets/d/1XWAQStnk-4SwqDmLtmXYiTMKHgktTP8We1SCoS47DrQ/edit?usp=sharing"",""จัดที่ดิน!BS45"")"),0)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IFERROR(__xludf.DUMMYFUNCTION("IMPORTRANGE(""https://docs.google.com/spreadsheets/d/1QqKyyYR6Q21VydFLVH3TRQUabQu_ym0Zz7PgGX0-kHA/edit?usp=sharing"",""แผน!IO45"")"),0)</f>
        <v>0</v>
      </c>
      <c r="J728" s="269">
        <f ca="1">IFERROR(__xludf.DUMMYFUNCTION("IMPORTRANGE(""https://docs.google.com/spreadsheets/d/1XWAQStnk-4SwqDmLtmXYiTMKHgktTP8We1SCoS47DrQ/edit?usp=sharing"",""จัดที่ดิน!BT45"")"),0)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IFERROR(__xludf.DUMMYFUNCTION("IMPORTRANGE(""https://docs.google.com/spreadsheets/d/1QqKyyYR6Q21VydFLVH3TRQUabQu_ym0Zz7PgGX0-kHA/edit?usp=sharing"",""แผน!IP45"")"),0)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3000</v>
      </c>
      <c r="J785" s="798">
        <f t="shared" ca="1" si="318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197920</v>
      </c>
      <c r="M786" s="195">
        <f t="shared" si="319"/>
        <v>0</v>
      </c>
      <c r="N786" s="195">
        <f t="shared" si="319"/>
        <v>30400</v>
      </c>
      <c r="O786" s="195">
        <f t="shared" ref="O786:O791" ca="1" si="320">IF(L786&gt;0,N786*100/L786,0)</f>
        <v>15.359741309620048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197920</v>
      </c>
      <c r="M788" s="93">
        <f t="shared" si="322"/>
        <v>0</v>
      </c>
      <c r="N788" s="93">
        <f t="shared" si="322"/>
        <v>30400</v>
      </c>
      <c r="O788" s="93">
        <f t="shared" ca="1" si="320"/>
        <v>15.359741309620048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197920</v>
      </c>
      <c r="M789" s="496">
        <f t="shared" si="323"/>
        <v>0</v>
      </c>
      <c r="N789" s="496">
        <f t="shared" si="323"/>
        <v>30400</v>
      </c>
      <c r="O789" s="496">
        <f t="shared" ca="1" si="320"/>
        <v>15.359741309620048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v>0</v>
      </c>
      <c r="N791" s="93">
        <f>N792+N793+N794+N795</f>
        <v>30400</v>
      </c>
      <c r="O791" s="93">
        <f t="shared" ca="1" si="320"/>
        <v>15.359741309620048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30400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IFERROR(__xludf.DUMMYFUNCTION("IMPORTRANGE(""https://docs.google.com/spreadsheets/d/1QqKyyYR6Q21VydFLVH3TRQUabQu_ym0Zz7PgGX0-kHA/edit?usp=sharing"",""แผน!JN45"")"),3000)</f>
        <v>3000</v>
      </c>
      <c r="J800" s="184">
        <f ca="1">IFERROR(__xludf.DUMMYFUNCTION("IMPORTRANGE(""https://docs.google.com/spreadsheets/d/1MaWodYyGHDf7siQLGxnXhG4mBNTNIuy296niS2xXulU/edit?usp=sharing"",""RTK!H45"")"),0)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IFERROR(__xludf.DUMMYFUNCTION("IMPORTRANGE(""https://docs.google.com/spreadsheets/d/1MaWodYyGHDf7siQLGxnXhG4mBNTNIuy296niS2xXulU/edit?usp=sharing"",""RTK!I45"")"),0)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69">
        <f ca="1">IFERROR(__xludf.DUMMYFUNCTION("IMPORTRANGE(""https://docs.google.com/spreadsheets/d/19vJNZY_5yjcGF2XGBMNZRCAIB0Kwfpjp8YEOfu-bneM/edit?usp=sharing"",""งานกองทุน!F45"")"),10000)</f>
        <v>10000</v>
      </c>
      <c r="K821" s="496">
        <f t="shared" ref="K821:K828" ca="1" si="335">IF(I821&gt;0,J821*100/I821,0)</f>
        <v>0.1114155657813455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IFERROR(__xludf.DUMMYFUNCTION("IMPORTRANGE(""https://docs.google.com/spreadsheets/d/19vJNZY_5yjcGF2XGBMNZRCAIB0Kwfpjp8YEOfu-bneM/edit?usp=sharing"",""งานกองทุน!C45"")"),724)</f>
        <v>724</v>
      </c>
      <c r="J822" s="269">
        <f ca="1">IFERROR(__xludf.DUMMYFUNCTION("IMPORTRANGE(""https://docs.google.com/spreadsheets/d/19vJNZY_5yjcGF2XGBMNZRCAIB0Kwfpjp8YEOfu-bneM/edit?usp=sharing"",""งานกองทุน!E45"")"),1)</f>
        <v>1</v>
      </c>
      <c r="K822" s="496">
        <f t="shared" ca="1" si="335"/>
        <v>0.13812154696132597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69">
        <f ca="1">IFERROR(__xludf.DUMMYFUNCTION("IMPORTRANGE(""https://docs.google.com/spreadsheets/d/19vJNZY_5yjcGF2XGBMNZRCAIB0Kwfpjp8YEOfu-bneM/edit?usp=sharing"",""งานกองทุน!K45"")"),36489.89)</f>
        <v>36489.89</v>
      </c>
      <c r="K823" s="496">
        <f t="shared" ca="1" si="335"/>
        <v>0.80859384729358907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IFERROR(__xludf.DUMMYFUNCTION("IMPORTRANGE(""https://docs.google.com/spreadsheets/d/19vJNZY_5yjcGF2XGBMNZRCAIB0Kwfpjp8YEOfu-bneM/edit?usp=sharing"",""งานกองทุน!H45"")"),223)</f>
        <v>223</v>
      </c>
      <c r="J824" s="269">
        <f ca="1">IFERROR(__xludf.DUMMYFUNCTION("IMPORTRANGE(""https://docs.google.com/spreadsheets/d/19vJNZY_5yjcGF2XGBMNZRCAIB0Kwfpjp8YEOfu-bneM/edit?usp=sharing"",""งานกองทุน!J45"")"),6)</f>
        <v>6</v>
      </c>
      <c r="K824" s="496">
        <f t="shared" ca="1" si="335"/>
        <v>2.6905829596412558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IFERROR(__xludf.DUMMYFUNCTION("IMPORTRANGE(""https://docs.google.com/spreadsheets/d/19vJNZY_5yjcGF2XGBMNZRCAIB0Kwfpjp8YEOfu-bneM/edit?usp=sharing"",""งานกองทุน!N45"")"),0)</f>
        <v>0</v>
      </c>
      <c r="J825" s="269">
        <f ca="1">IFERROR(__xludf.DUMMYFUNCTION("IMPORTRANGE(""https://docs.google.com/spreadsheets/d/19vJNZY_5yjcGF2XGBMNZRCAIB0Kwfpjp8YEOfu-bneM/edit?usp=sharing"",""งานกองทุน!P45"")"),0)</f>
        <v>0</v>
      </c>
      <c r="K825" s="496">
        <f t="shared" ca="1" si="335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IFERROR(__xludf.DUMMYFUNCTION("IMPORTRANGE(""https://docs.google.com/spreadsheets/d/19vJNZY_5yjcGF2XGBMNZRCAIB0Kwfpjp8YEOfu-bneM/edit?usp=sharing"",""งานกองทุน!M45"")"),0)</f>
        <v>0</v>
      </c>
      <c r="J826" s="269">
        <f ca="1">IFERROR(__xludf.DUMMYFUNCTION("IMPORTRANGE(""https://docs.google.com/spreadsheets/d/19vJNZY_5yjcGF2XGBMNZRCAIB0Kwfpjp8YEOfu-bneM/edit?usp=sharing"",""งานกองทุน!O45"")"),0)</f>
        <v>0</v>
      </c>
      <c r="K826" s="496">
        <f t="shared" ca="1" si="335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IFERROR(__xludf.DUMMYFUNCTION("IMPORTRANGE(""https://docs.google.com/spreadsheets/d/19vJNZY_5yjcGF2XGBMNZRCAIB0Kwfpjp8YEOfu-bneM/edit?usp=sharing"",""งานกองทุน!S45"")"),8000000)</f>
        <v>8000000</v>
      </c>
      <c r="J827" s="269">
        <f ca="1">IFERROR(__xludf.DUMMYFUNCTION("IMPORTRANGE(""https://docs.google.com/spreadsheets/d/19vJNZY_5yjcGF2XGBMNZRCAIB0Kwfpjp8YEOfu-bneM/edit?usp=sharing"",""งานกองทุน!U45"")"),0)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IFERROR(__xludf.DUMMYFUNCTION("IMPORTRANGE(""https://docs.google.com/spreadsheets/d/19vJNZY_5yjcGF2XGBMNZRCAIB0Kwfpjp8YEOfu-bneM/edit?usp=sharing"",""งานกองทุน!R45"")"),233)</f>
        <v>233</v>
      </c>
      <c r="J828" s="499">
        <f ca="1">IFERROR(__xludf.DUMMYFUNCTION("IMPORTRANGE(""https://docs.google.com/spreadsheets/d/19vJNZY_5yjcGF2XGBMNZRCAIB0Kwfpjp8YEOfu-bneM/edit?usp=sharing"",""งานกองทุน!T45"")"),31)</f>
        <v>31</v>
      </c>
      <c r="K828" s="500">
        <f t="shared" ca="1" si="335"/>
        <v>13.304721030042918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9A72D-B014-48B3-8247-51CA4797EF6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351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7671965</v>
      </c>
      <c r="M8" s="22">
        <f t="shared" ca="1" si="0"/>
        <v>2555023</v>
      </c>
      <c r="N8" s="22">
        <f t="shared" ca="1" si="0"/>
        <v>1126609.56</v>
      </c>
      <c r="O8" s="22">
        <f t="shared" ref="O8:O16" ca="1" si="1">IF(L8&gt;0,N8*100/L8,0)</f>
        <v>14.684758859040675</v>
      </c>
      <c r="P8" s="22">
        <f t="shared" ref="P8:P16" ca="1" si="2">IF(M8&gt;0,N8*100/M8,0)</f>
        <v>44.093910700608177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7671965</v>
      </c>
      <c r="M10" s="30">
        <f t="shared" ca="1" si="3"/>
        <v>2555023</v>
      </c>
      <c r="N10" s="30">
        <f t="shared" ca="1" si="3"/>
        <v>1126609.56</v>
      </c>
      <c r="O10" s="30">
        <f t="shared" ca="1" si="1"/>
        <v>14.684758859040675</v>
      </c>
      <c r="P10" s="30">
        <f t="shared" ca="1" si="2"/>
        <v>44.093910700608177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7454865</v>
      </c>
      <c r="M11" s="496">
        <f t="shared" ca="1" si="4"/>
        <v>2340303</v>
      </c>
      <c r="N11" s="496">
        <f t="shared" ca="1" si="4"/>
        <v>911889.55999999994</v>
      </c>
      <c r="O11" s="496">
        <f t="shared" ca="1" si="1"/>
        <v>12.232140488124198</v>
      </c>
      <c r="P11" s="496">
        <f t="shared" ca="1" si="2"/>
        <v>38.964593900875229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7454865</v>
      </c>
      <c r="M13" s="93">
        <f t="shared" ca="1" si="5"/>
        <v>2340303</v>
      </c>
      <c r="N13" s="93">
        <f t="shared" ca="1" si="5"/>
        <v>911889.55999999994</v>
      </c>
      <c r="O13" s="93">
        <f t="shared" ca="1" si="1"/>
        <v>12.232140488124198</v>
      </c>
      <c r="P13" s="93">
        <f t="shared" ca="1" si="2"/>
        <v>38.964593900875229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217100</v>
      </c>
      <c r="M14" s="496">
        <f t="shared" ca="1" si="6"/>
        <v>214720</v>
      </c>
      <c r="N14" s="496">
        <f t="shared" ca="1" si="6"/>
        <v>214720</v>
      </c>
      <c r="O14" s="496">
        <f t="shared" ca="1" si="1"/>
        <v>98.903730999539377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2555023</v>
      </c>
      <c r="N18" s="22">
        <f t="shared" ca="1" si="8"/>
        <v>1065993.56</v>
      </c>
      <c r="O18" s="22">
        <f t="shared" ref="O18:O26" ca="1" si="9">IF(L18&gt;0,N18*100/L18,0)</f>
        <v>23.890824993719097</v>
      </c>
      <c r="P18" s="22">
        <f t="shared" ref="P18:P26" ca="1" si="10">IF(M18&gt;0,N18*100/M18,0)</f>
        <v>41.721485873121296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2555023</v>
      </c>
      <c r="N20" s="30">
        <f t="shared" ca="1" si="11"/>
        <v>1065993.56</v>
      </c>
      <c r="O20" s="30">
        <f t="shared" ca="1" si="9"/>
        <v>23.890824993719097</v>
      </c>
      <c r="P20" s="30">
        <f t="shared" ca="1" si="10"/>
        <v>41.721485873121296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4244837</v>
      </c>
      <c r="M21" s="496">
        <f t="shared" ca="1" si="12"/>
        <v>2340303</v>
      </c>
      <c r="N21" s="496">
        <f t="shared" ca="1" si="12"/>
        <v>851273.55999999994</v>
      </c>
      <c r="O21" s="496">
        <f t="shared" ca="1" si="9"/>
        <v>20.054328587882175</v>
      </c>
      <c r="P21" s="496">
        <f t="shared" ca="1" si="10"/>
        <v>36.374501934151262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4244837</v>
      </c>
      <c r="M23" s="93">
        <f t="shared" ca="1" si="13"/>
        <v>2340303</v>
      </c>
      <c r="N23" s="93">
        <f t="shared" ca="1" si="13"/>
        <v>851273.55999999994</v>
      </c>
      <c r="O23" s="93">
        <f t="shared" ca="1" si="9"/>
        <v>20.054328587882175</v>
      </c>
      <c r="P23" s="93">
        <f t="shared" ca="1" si="10"/>
        <v>36.374501934151262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217100</v>
      </c>
      <c r="M24" s="496">
        <f t="shared" ca="1" si="14"/>
        <v>214720</v>
      </c>
      <c r="N24" s="496">
        <f t="shared" ca="1" si="14"/>
        <v>214720</v>
      </c>
      <c r="O24" s="496">
        <f t="shared" ca="1" si="9"/>
        <v>98.903730999539377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3210028</v>
      </c>
      <c r="M28" s="22">
        <f t="shared" si="16"/>
        <v>0</v>
      </c>
      <c r="N28" s="22">
        <f t="shared" si="16"/>
        <v>60616</v>
      </c>
      <c r="O28" s="22">
        <f t="shared" ref="O28:O37" ca="1" si="17">IF(L28&gt;0,N28*100/L28,0)</f>
        <v>1.8883324382217226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3210028</v>
      </c>
      <c r="M30" s="30">
        <f t="shared" si="19"/>
        <v>0</v>
      </c>
      <c r="N30" s="30">
        <f t="shared" si="19"/>
        <v>60616</v>
      </c>
      <c r="O30" s="30">
        <f t="shared" ca="1" si="17"/>
        <v>1.8883324382217226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3210028</v>
      </c>
      <c r="M31" s="496">
        <f t="shared" si="20"/>
        <v>0</v>
      </c>
      <c r="N31" s="496">
        <f t="shared" si="20"/>
        <v>60616</v>
      </c>
      <c r="O31" s="496">
        <f t="shared" ca="1" si="17"/>
        <v>1.8883324382217226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3210028</v>
      </c>
      <c r="M33" s="93">
        <f t="shared" si="21"/>
        <v>0</v>
      </c>
      <c r="N33" s="93">
        <f t="shared" si="21"/>
        <v>60616</v>
      </c>
      <c r="O33" s="93">
        <f t="shared" ca="1" si="17"/>
        <v>1.8883324382217226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4461937</v>
      </c>
      <c r="M37" s="59">
        <f t="shared" ca="1" si="24"/>
        <v>2555023</v>
      </c>
      <c r="N37" s="59">
        <f t="shared" ca="1" si="24"/>
        <v>1065993.56</v>
      </c>
      <c r="O37" s="59">
        <f t="shared" ca="1" si="17"/>
        <v>23.890824993719097</v>
      </c>
      <c r="P37" s="59">
        <f t="shared" ca="1" si="18"/>
        <v>41.721485873121296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218142</v>
      </c>
      <c r="N41" s="85">
        <f t="shared" ca="1" si="25"/>
        <v>77866</v>
      </c>
      <c r="O41" s="85">
        <f t="shared" ref="O41:O49" ca="1" si="26">IF(L41&gt;0,N41*100/L41,0)</f>
        <v>18.010278899574875</v>
      </c>
      <c r="P41" s="85">
        <f t="shared" ref="P41:P49" ca="1" si="27">IF(M41&gt;0,N41*100/M41,0)</f>
        <v>35.695097688661512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218142</v>
      </c>
      <c r="N43" s="92">
        <f t="shared" ca="1" si="28"/>
        <v>77866</v>
      </c>
      <c r="O43" s="92">
        <f t="shared" ca="1" si="26"/>
        <v>18.010278899574875</v>
      </c>
      <c r="P43" s="92">
        <f t="shared" ca="1" si="27"/>
        <v>35.695097688661512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432342</v>
      </c>
      <c r="M44" s="496">
        <f t="shared" ca="1" si="29"/>
        <v>218142</v>
      </c>
      <c r="N44" s="496">
        <f t="shared" ca="1" si="29"/>
        <v>77866</v>
      </c>
      <c r="O44" s="496">
        <f t="shared" ca="1" si="26"/>
        <v>18.010278899574875</v>
      </c>
      <c r="P44" s="496">
        <f t="shared" ca="1" si="27"/>
        <v>35.695097688661512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IFERROR(__xludf.DUMMYFUNCTION("IMPORTRANGE(""https://docs.google.com/spreadsheets/d/1MeEWN-I1oV_STSDYn1IFDPWt_1FKiwhDph83XaGc0o0/edit?usp=sharing"",""งบพรบ!R46"")"),218142)</f>
        <v>218142</v>
      </c>
      <c r="N46" s="93">
        <f ca="1">IFERROR(__xludf.DUMMYFUNCTION("IMPORTRANGE(""https://docs.google.com/spreadsheets/d/1MeEWN-I1oV_STSDYn1IFDPWt_1FKiwhDph83XaGc0o0/edit?usp=sharing"",""งบพรบ!T46"")"),77866)</f>
        <v>77866</v>
      </c>
      <c r="O46" s="93">
        <f t="shared" ca="1" si="26"/>
        <v>18.010278899574875</v>
      </c>
      <c r="P46" s="93">
        <f t="shared" ca="1" si="27"/>
        <v>35.695097688661512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494320</v>
      </c>
      <c r="N53" s="116">
        <f t="shared" ca="1" si="31"/>
        <v>340011.06</v>
      </c>
      <c r="O53" s="116">
        <f t="shared" ref="O53:O61" ca="1" si="32">IF(L53&gt;0,N53*100/L53,0)</f>
        <v>41.16855067199419</v>
      </c>
      <c r="P53" s="116">
        <f t="shared" ref="P53:P61" ca="1" si="33">IF(M53&gt;0,N53*100/M53,0)</f>
        <v>68.783593623563689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494320</v>
      </c>
      <c r="N55" s="123">
        <f t="shared" ca="1" si="34"/>
        <v>340011.06</v>
      </c>
      <c r="O55" s="123">
        <f t="shared" ca="1" si="32"/>
        <v>41.16855067199419</v>
      </c>
      <c r="P55" s="123">
        <f t="shared" ca="1" si="33"/>
        <v>68.783593623563689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776000</v>
      </c>
      <c r="M56" s="496">
        <f t="shared" ca="1" si="35"/>
        <v>444620</v>
      </c>
      <c r="N56" s="496">
        <f t="shared" ca="1" si="35"/>
        <v>290311.06</v>
      </c>
      <c r="O56" s="496">
        <f t="shared" ca="1" si="32"/>
        <v>37.411219072164947</v>
      </c>
      <c r="P56" s="496">
        <f t="shared" ca="1" si="33"/>
        <v>65.294197292069626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IFERROR(__xludf.DUMMYFUNCTION("IMPORTRANGE(""https://docs.google.com/spreadsheets/d/1MeEWN-I1oV_STSDYn1IFDPWt_1FKiwhDph83XaGc0o0/edit?usp=sharing"",""งบพรบ!AB46"")"),444620)</f>
        <v>444620</v>
      </c>
      <c r="N58" s="93">
        <f ca="1">IFERROR(__xludf.DUMMYFUNCTION("IMPORTRANGE(""https://docs.google.com/spreadsheets/d/1MeEWN-I1oV_STSDYn1IFDPWt_1FKiwhDph83XaGc0o0/edit?usp=sharing"",""งบพรบ!AD46"")"),290311.06)</f>
        <v>290311.06</v>
      </c>
      <c r="O58" s="93">
        <f t="shared" ca="1" si="32"/>
        <v>37.411219072164947</v>
      </c>
      <c r="P58" s="93">
        <f t="shared" ca="1" si="33"/>
        <v>65.294197292069626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49900</v>
      </c>
      <c r="M59" s="496">
        <f t="shared" ca="1" si="36"/>
        <v>49700</v>
      </c>
      <c r="N59" s="496">
        <f t="shared" ca="1" si="36"/>
        <v>49700</v>
      </c>
      <c r="O59" s="496">
        <f t="shared" ca="1" si="32"/>
        <v>99.599198396793582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98760</v>
      </c>
      <c r="M88" s="155">
        <f t="shared" ca="1" si="49"/>
        <v>32760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98760</v>
      </c>
      <c r="M90" s="93">
        <f t="shared" ca="1" si="52"/>
        <v>32760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98760</v>
      </c>
      <c r="M91" s="496">
        <f t="shared" ca="1" si="53"/>
        <v>32760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IFERROR(__xludf.DUMMYFUNCTION("IMPORTRANGE(""https://docs.google.com/spreadsheets/d/1MeEWN-I1oV_STSDYn1IFDPWt_1FKiwhDph83XaGc0o0/edit?usp=sharing"",""งบพรบ!AV46"")"),32760)</f>
        <v>32760</v>
      </c>
      <c r="N93" s="93">
        <f ca="1">IFERROR(__xludf.DUMMYFUNCTION("IMPORTRANGE(""https://docs.google.com/spreadsheets/d/1MeEWN-I1oV_STSDYn1IFDPWt_1FKiwhDph83XaGc0o0/edit?usp=sharing"",""งบพรบ!AX46"")"),0)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IFERROR(__xludf.DUMMYFUNCTION("IMPORTRANGE(""https://docs.google.com/spreadsheets/d/1QqKyyYR6Q21VydFLVH3TRQUabQu_ym0Zz7PgGX0-kHA/edit?usp=sharing"",""แผน!K46"")"),45)</f>
        <v>45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IFERROR(__xludf.DUMMYFUNCTION("IMPORTRANGE(""https://docs.google.com/spreadsheets/d/1QqKyyYR6Q21VydFLVH3TRQUabQu_ym0Zz7PgGX0-kHA/edit?usp=sharing"",""แผน!L46"")"),15)</f>
        <v>15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IFERROR(__xludf.DUMMYFUNCTION("IMPORTRANGE(""https://docs.google.com/spreadsheets/d/1QqKyyYR6Q21VydFLVH3TRQUabQu_ym0Zz7PgGX0-kHA/edit?usp=sharing"",""แผน!M46"")"),2)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IFERROR(__xludf.DUMMYFUNCTION("IMPORTRANGE(""https://docs.google.com/spreadsheets/d/1QqKyyYR6Q21VydFLVH3TRQUabQu_ym0Zz7PgGX0-kHA/edit?usp=sharing"",""แผน!N46"")"),45)</f>
        <v>45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IFERROR(__xludf.DUMMYFUNCTION("IMPORTRANGE(""https://docs.google.com/spreadsheets/d/1QqKyyYR6Q21VydFLVH3TRQUabQu_ym0Zz7PgGX0-kHA/edit?usp=sharing"",""แผน!O46"")"),15)</f>
        <v>15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IFERROR(__xludf.DUMMYFUNCTION("IMPORTRANGE(""https://docs.google.com/spreadsheets/d/1QqKyyYR6Q21VydFLVH3TRQUabQu_ym0Zz7PgGX0-kHA/edit?usp=sharing"",""แผน!O46"")"),15)</f>
        <v>15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IFERROR(__xludf.DUMMYFUNCTION("IMPORTRANGE(""https://docs.google.com/spreadsheets/d/1QqKyyYR6Q21VydFLVH3TRQUabQu_ym0Zz7PgGX0-kHA/edit?usp=sharing"",""แผน!P46"")"),1)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IFERROR(__xludf.DUMMYFUNCTION("IMPORTRANGE(""https://docs.google.com/spreadsheets/d/1QqKyyYR6Q21VydFLVH3TRQUabQu_ym0Zz7PgGX0-kHA/edit?usp=sharing"",""แผน!P46"")"),1)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IFERROR(__xludf.DUMMYFUNCTION("IMPORTRANGE(""https://docs.google.com/spreadsheets/d/1QqKyyYR6Q21VydFLVH3TRQUabQu_ym0Zz7PgGX0-kHA/edit?usp=sharing"",""แผน!Q46"")"),1)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IFERROR(__xludf.DUMMYFUNCTION("IMPORTRANGE(""https://docs.google.com/spreadsheets/d/1QqKyyYR6Q21VydFLVH3TRQUabQu_ym0Zz7PgGX0-kHA/edit?usp=sharing"",""แผน!Q46"")"),1)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IFERROR(__xludf.DUMMYFUNCTION("IMPORTRANGE(""https://docs.google.com/spreadsheets/d/1QqKyyYR6Q21VydFLVH3TRQUabQu_ym0Zz7PgGX0-kHA/edit?usp=sharing"",""แผน!U46"")"),0)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IFERROR(__xludf.DUMMYFUNCTION("IMPORTRANGE(""https://docs.google.com/spreadsheets/d/1QqKyyYR6Q21VydFLVH3TRQUabQu_ym0Zz7PgGX0-kHA/edit?usp=sharing"",""แผน!V46"")"),0)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IFERROR(__xludf.DUMMYFUNCTION("IMPORTRANGE(""https://docs.google.com/spreadsheets/d/1QqKyyYR6Q21VydFLVH3TRQUabQu_ym0Zz7PgGX0-kHA/edit?usp=sharing"",""แผน!W46"")"),0)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IFERROR(__xludf.DUMMYFUNCTION("IMPORTRANGE(""https://docs.google.com/spreadsheets/d/1QqKyyYR6Q21VydFLVH3TRQUabQu_ym0Zz7PgGX0-kHA/edit?usp=sharing"",""แผน!X46"")"),0)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22055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IFERROR(__xludf.DUMMYFUNCTION("IMPORTRANGE(""https://docs.google.com/spreadsheets/d/1MeEWN-I1oV_STSDYn1IFDPWt_1FKiwhDph83XaGc0o0/edit?usp=sharing"",""งบพรบ!CJ46"")"),22055)</f>
        <v>22055</v>
      </c>
      <c r="N170" s="93">
        <f ca="1">IFERROR(__xludf.DUMMYFUNCTION("IMPORTRANGE(""https://docs.google.com/spreadsheets/d/1MeEWN-I1oV_STSDYn1IFDPWt_1FKiwhDph83XaGc0o0/edit?usp=sharing"",""งบพรบ!CL46"")"),22055)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IFERROR(__xludf.DUMMYFUNCTION("IMPORTRANGE(""https://docs.google.com/spreadsheets/d/1QqKyyYR6Q21VydFLVH3TRQUabQu_ym0Zz7PgGX0-kHA/edit?usp=sharing"",""แผน!Y46"")"),11)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1">L182+L183</f>
        <v>108400</v>
      </c>
      <c r="M181" s="155">
        <f t="shared" ca="1" si="91"/>
        <v>66000</v>
      </c>
      <c r="N181" s="155">
        <f t="shared" ca="1" si="91"/>
        <v>24834</v>
      </c>
      <c r="O181" s="155">
        <f t="shared" ref="O181:O189" ca="1" si="92">IF(L181&gt;0,N181*100/L181,0)</f>
        <v>22.90959409594096</v>
      </c>
      <c r="P181" s="155">
        <f t="shared" ref="P181:P189" ca="1" si="93">IF(M181&gt;0,N181*100/M181,0)</f>
        <v>37.627272727272725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108400</v>
      </c>
      <c r="M183" s="93">
        <f t="shared" ca="1" si="94"/>
        <v>66000</v>
      </c>
      <c r="N183" s="93">
        <f t="shared" ca="1" si="94"/>
        <v>24834</v>
      </c>
      <c r="O183" s="93">
        <f t="shared" ca="1" si="92"/>
        <v>22.90959409594096</v>
      </c>
      <c r="P183" s="93">
        <f t="shared" ca="1" si="93"/>
        <v>37.627272727272725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108400</v>
      </c>
      <c r="M184" s="496">
        <f t="shared" ca="1" si="95"/>
        <v>66000</v>
      </c>
      <c r="N184" s="496">
        <f t="shared" ca="1" si="95"/>
        <v>24834</v>
      </c>
      <c r="O184" s="496">
        <f t="shared" ca="1" si="92"/>
        <v>22.90959409594096</v>
      </c>
      <c r="P184" s="496">
        <f t="shared" ca="1" si="93"/>
        <v>37.627272727272725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IFERROR(__xludf.DUMMYFUNCTION("IMPORTRANGE(""https://docs.google.com/spreadsheets/d/1MeEWN-I1oV_STSDYn1IFDPWt_1FKiwhDph83XaGc0o0/edit?usp=sharing"",""งบพรบ!CT46"")"),66000)</f>
        <v>66000</v>
      </c>
      <c r="N186" s="93">
        <f ca="1">IFERROR(__xludf.DUMMYFUNCTION("IMPORTRANGE(""https://docs.google.com/spreadsheets/d/1MeEWN-I1oV_STSDYn1IFDPWt_1FKiwhDph83XaGc0o0/edit?usp=sharing"",""งบพรบ!CV46"")"),24834)</f>
        <v>24834</v>
      </c>
      <c r="O186" s="93">
        <f t="shared" ca="1" si="92"/>
        <v>22.90959409594096</v>
      </c>
      <c r="P186" s="93">
        <f t="shared" ca="1" si="93"/>
        <v>37.627272727272725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IFERROR(__xludf.DUMMYFUNCTION("IMPORTRANGE(""https://docs.google.com/spreadsheets/d/1QqKyyYR6Q21VydFLVH3TRQUabQu_ym0Zz7PgGX0-kHA/edit?usp=sharing"",""แผน!AC46"")"),4)</f>
        <v>4</v>
      </c>
      <c r="J193" s="214">
        <v>1</v>
      </c>
      <c r="K193" s="496">
        <f ca="1">IF(I193&gt;0,J193*100/I193,0)</f>
        <v>25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20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20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3</v>
      </c>
      <c r="K197" s="272">
        <f ca="1">IF(I197&gt;0,J197*100/I197,0)</f>
        <v>100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23834</v>
      </c>
      <c r="O198" s="155">
        <f ca="1">IF(L198&gt;0,N198*100/L198,0)</f>
        <v>61.112820512820512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IFERROR(__xludf.DUMMYFUNCTION("IMPORTRANGE(""https://docs.google.com/spreadsheets/d/1QqKyyYR6Q21VydFLVH3TRQUabQu_ym0Zz7PgGX0-kHA/edit?usp=sharing"",""แผน!AE46"")"),3000)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IFERROR(__xludf.DUMMYFUNCTION("IMPORTRANGE(""https://docs.google.com/spreadsheets/d/1QqKyyYR6Q21VydFLVH3TRQUabQu_ym0Zz7PgGX0-kHA/edit?usp=sharing"",""แผน!AF46"")"),24000)</f>
        <v>24000</v>
      </c>
      <c r="M200" s="496"/>
      <c r="N200" s="816">
        <v>23834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IFERROR(__xludf.DUMMYFUNCTION("IMPORTRANGE(""https://docs.google.com/spreadsheets/d/1QqKyyYR6Q21VydFLVH3TRQUabQu_ym0Zz7PgGX0-kHA/edit?usp=sharing"",""แผน!AG46"")"),12000)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IFERROR(__xludf.DUMMYFUNCTION("IMPORTRANGE(""https://docs.google.com/spreadsheets/d/1QqKyyYR6Q21VydFLVH3TRQUabQu_ym0Zz7PgGX0-kHA/edit?usp=sharing"",""แผน!AH46"")"),0)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IFERROR(__xludf.DUMMYFUNCTION("IMPORTRANGE(""https://docs.google.com/spreadsheets/d/1QqKyyYR6Q21VydFLVH3TRQUabQu_ym0Zz7PgGX0-kHA/edit?usp=sharing"",""แผน!AI46"")"),3)</f>
        <v>3</v>
      </c>
      <c r="J204" s="214">
        <v>3</v>
      </c>
      <c r="K204" s="163">
        <f ca="1">IF(I204&gt;0,J204*100/I204,0)</f>
        <v>100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4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56000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IFERROR(__xludf.DUMMYFUNCTION("IMPORTRANGE(""https://docs.google.com/spreadsheets/d/1QqKyyYR6Q21VydFLVH3TRQUabQu_ym0Zz7PgGX0-kHA/edit?usp=sharing"",""แผน!AK46"")"),4000)</f>
        <v>4000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IFERROR(__xludf.DUMMYFUNCTION("IMPORTRANGE(""https://docs.google.com/spreadsheets/d/1QqKyyYR6Q21VydFLVH3TRQUabQu_ym0Zz7PgGX0-kHA/edit?usp=sharing"",""แผน!AL46"")"),20000)</f>
        <v>20000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IFERROR(__xludf.DUMMYFUNCTION("IMPORTRANGE(""https://docs.google.com/spreadsheets/d/1QqKyyYR6Q21VydFLVH3TRQUabQu_ym0Zz7PgGX0-kHA/edit?usp=sharing"",""แผน!AM46"")"),32000)</f>
        <v>32000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IFERROR(__xludf.DUMMYFUNCTION("IMPORTRANGE(""https://docs.google.com/spreadsheets/d/1QqKyyYR6Q21VydFLVH3TRQUabQu_ym0Zz7PgGX0-kHA/edit?usp=sharing"",""แผน!AN46"")"),4)</f>
        <v>4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IFERROR(__xludf.DUMMYFUNCTION("IMPORTRANGE(""https://docs.google.com/spreadsheets/d/1QqKyyYR6Q21VydFLVH3TRQUabQu_ym0Zz7PgGX0-kHA/edit?usp=sharing"",""แผน!AN46"")"),4)</f>
        <v>4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15000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IFERROR(__xludf.DUMMYFUNCTION("IMPORTRANGE(""https://docs.google.com/spreadsheets/d/1QqKyyYR6Q21VydFLVH3TRQUabQu_ym0Zz7PgGX0-kHA/edit?usp=sharing"",""แผน!AP46"")"),3000)</f>
        <v>3000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IFERROR(__xludf.DUMMYFUNCTION("IMPORTRANGE(""https://docs.google.com/spreadsheets/d/1QqKyyYR6Q21VydFLVH3TRQUabQu_ym0Zz7PgGX0-kHA/edit?usp=sharing"",""แผน!AQ46"")"),4400)</f>
        <v>4400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IFERROR(__xludf.DUMMYFUNCTION("IMPORTRANGE(""https://docs.google.com/spreadsheets/d/1QqKyyYR6Q21VydFLVH3TRQUabQu_ym0Zz7PgGX0-kHA/edit?usp=sharing"",""แผน!AR46"")"),0)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IFERROR(__xludf.DUMMYFUNCTION("IMPORTRANGE(""https://docs.google.com/spreadsheets/d/1QqKyyYR6Q21VydFLVH3TRQUabQu_ym0Zz7PgGX0-kHA/edit?usp=sharing"",""แผน!AT46"")"),15000)</f>
        <v>15000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IFERROR(__xludf.DUMMYFUNCTION("IMPORTRANGE(""https://docs.google.com/spreadsheets/d/1QqKyyYR6Q21VydFLVH3TRQUabQu_ym0Zz7PgGX0-kHA/edit?usp=sharing"",""แผน!AT46"")"),15000)</f>
        <v>15000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IFERROR(__xludf.DUMMYFUNCTION("IMPORTRANGE(""https://docs.google.com/spreadsheets/d/1QqKyyYR6Q21VydFLVH3TRQUabQu_ym0Zz7PgGX0-kHA/edit?usp=sharing"",""แผน!AS46"")"),0)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IFERROR(__xludf.DUMMYFUNCTION("IMPORTRANGE(""https://docs.google.com/spreadsheets/d/1QqKyyYR6Q21VydFLVH3TRQUabQu_ym0Zz7PgGX0-kHA/edit?usp=sharing"",""แผน!AV46"")"),0)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IFERROR(__xludf.DUMMYFUNCTION("IMPORTRANGE(""https://docs.google.com/spreadsheets/d/1QqKyyYR6Q21VydFLVH3TRQUabQu_ym0Zz7PgGX0-kHA/edit?usp=sharing"",""แผน!AW46"")"),0)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IFERROR(__xludf.DUMMYFUNCTION("IMPORTRANGE(""https://docs.google.com/spreadsheets/d/1QqKyyYR6Q21VydFLVH3TRQUabQu_ym0Zz7PgGX0-kHA/edit?usp=sharing"",""แผน!AX46"")"),0)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IFERROR(__xludf.DUMMYFUNCTION("IMPORTRANGE(""https://docs.google.com/spreadsheets/d/1QqKyyYR6Q21VydFLVH3TRQUabQu_ym0Zz7PgGX0-kHA/edit?usp=sharing"",""แผน!AY46"")"),0)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IFERROR(__xludf.DUMMYFUNCTION("IMPORTRANGE(""https://docs.google.com/spreadsheets/d/1QqKyyYR6Q21VydFLVH3TRQUabQu_ym0Zz7PgGX0-kHA/edit?usp=sharing"",""แผน!BE46"")"),0)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IFERROR(__xludf.DUMMYFUNCTION("IMPORTRANGE(""https://docs.google.com/spreadsheets/d/1QqKyyYR6Q21VydFLVH3TRQUabQu_ym0Zz7PgGX0-kHA/edit?usp=sharing"",""แผน!AZ46"")"),0)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IFERROR(__xludf.DUMMYFUNCTION("IMPORTRANGE(""https://docs.google.com/spreadsheets/d/1QqKyyYR6Q21VydFLVH3TRQUabQu_ym0Zz7PgGX0-kHA/edit?usp=sharing"",""แผน!BA46"")"),0)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IFERROR(__xludf.DUMMYFUNCTION("IMPORTRANGE(""https://docs.google.com/spreadsheets/d/1QqKyyYR6Q21VydFLVH3TRQUabQu_ym0Zz7PgGX0-kHA/edit?usp=sharing"",""แผน!BB46"")"),0)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IFERROR(__xludf.DUMMYFUNCTION("IMPORTRANGE(""https://docs.google.com/spreadsheets/d/1QqKyyYR6Q21VydFLVH3TRQUabQu_ym0Zz7PgGX0-kHA/edit?usp=sharing"",""แผน!BC46"")"),0)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IFERROR(__xludf.DUMMYFUNCTION("IMPORTRANGE(""https://docs.google.com/spreadsheets/d/1QqKyyYR6Q21VydFLVH3TRQUabQu_ym0Zz7PgGX0-kHA/edit?usp=sharing"",""แผน!BF46"")"),0)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23900</v>
      </c>
      <c r="N264" s="496">
        <f t="shared" ca="1" si="119"/>
        <v>0</v>
      </c>
      <c r="O264" s="496">
        <f t="shared" ca="1" si="116"/>
        <v>0</v>
      </c>
      <c r="P264" s="496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IFERROR(__xludf.DUMMYFUNCTION("IMPORTRANGE(""https://docs.google.com/spreadsheets/d/1MeEWN-I1oV_STSDYn1IFDPWt_1FKiwhDph83XaGc0o0/edit?usp=sharing"",""งบพรบ!DD46"")"),23900)</f>
        <v>23900</v>
      </c>
      <c r="N266" s="93">
        <f ca="1">IFERROR(__xludf.DUMMYFUNCTION("IMPORTRANGE(""https://docs.google.com/spreadsheets/d/1MeEWN-I1oV_STSDYn1IFDPWt_1FKiwhDph83XaGc0o0/edit?usp=sharing"",""งบพรบ!DF46"")"),0)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IFERROR(__xludf.DUMMYFUNCTION("IMPORTRANGE(""https://docs.google.com/spreadsheets/d/1QqKyyYR6Q21VydFLVH3TRQUabQu_ym0Zz7PgGX0-kHA/edit?usp=sharing"",""แผน!EA46"")"),22)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25</v>
      </c>
      <c r="J275" s="405">
        <f t="shared" ca="1" si="121"/>
        <v>25</v>
      </c>
      <c r="K275" s="406">
        <f t="shared" ref="K275:K276" ca="1" si="122">IF(I275&gt;0,J275*100/I275,0)</f>
        <v>100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23">I287</f>
        <v>250</v>
      </c>
      <c r="J276" s="405">
        <f t="shared" si="123"/>
        <v>250</v>
      </c>
      <c r="K276" s="406">
        <f t="shared" ca="1" si="122"/>
        <v>100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542220</v>
      </c>
      <c r="M277" s="155">
        <f t="shared" ca="1" si="124"/>
        <v>250150</v>
      </c>
      <c r="N277" s="155">
        <f t="shared" ca="1" si="124"/>
        <v>104502.9</v>
      </c>
      <c r="O277" s="155">
        <f t="shared" ref="O277:O285" ca="1" si="125">IF(L277&gt;0,N277*100/L277,0)</f>
        <v>19.273154808011508</v>
      </c>
      <c r="P277" s="155">
        <f t="shared" ref="P277:P285" ca="1" si="126">IF(M277&gt;0,N277*100/M277,0)</f>
        <v>41.776094343393964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542220</v>
      </c>
      <c r="M279" s="93">
        <f t="shared" ca="1" si="127"/>
        <v>250150</v>
      </c>
      <c r="N279" s="93">
        <f t="shared" ca="1" si="127"/>
        <v>104502.9</v>
      </c>
      <c r="O279" s="93">
        <f t="shared" ca="1" si="125"/>
        <v>19.273154808011508</v>
      </c>
      <c r="P279" s="93">
        <f t="shared" ca="1" si="126"/>
        <v>41.776094343393964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542220</v>
      </c>
      <c r="M280" s="496">
        <f t="shared" ca="1" si="128"/>
        <v>250150</v>
      </c>
      <c r="N280" s="496">
        <f t="shared" ca="1" si="128"/>
        <v>104502.9</v>
      </c>
      <c r="O280" s="496">
        <f t="shared" ca="1" si="125"/>
        <v>19.273154808011508</v>
      </c>
      <c r="P280" s="496">
        <f t="shared" ca="1" si="126"/>
        <v>41.776094343393964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IFERROR(__xludf.DUMMYFUNCTION("IMPORTRANGE(""https://docs.google.com/spreadsheets/d/1MeEWN-I1oV_STSDYn1IFDPWt_1FKiwhDph83XaGc0o0/edit?usp=sharing"",""งบพรบ!DN46"")"),250150)</f>
        <v>250150</v>
      </c>
      <c r="N282" s="93">
        <f ca="1">IFERROR(__xludf.DUMMYFUNCTION("IMPORTRANGE(""https://docs.google.com/spreadsheets/d/1MeEWN-I1oV_STSDYn1IFDPWt_1FKiwhDph83XaGc0o0/edit?usp=sharing"",""งบพรบ!DP46"")"),104502.9)</f>
        <v>104502.9</v>
      </c>
      <c r="O282" s="93">
        <f t="shared" ca="1" si="125"/>
        <v>19.273154808011508</v>
      </c>
      <c r="P282" s="93">
        <f t="shared" ca="1" si="126"/>
        <v>41.776094343393964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IFERROR(__xludf.DUMMYFUNCTION("IMPORTRANGE(""https://docs.google.com/spreadsheets/d/1QqKyyYR6Q21VydFLVH3TRQUabQu_ym0Zz7PgGX0-kHA/edit?usp=sharing"",""แผน!EC46"")"),250)</f>
        <v>250</v>
      </c>
      <c r="J287" s="214">
        <v>250</v>
      </c>
      <c r="K287" s="163">
        <f t="shared" ref="K287:K288" ca="1" si="130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IFERROR(__xludf.DUMMYFUNCTION("IMPORTRANGE(""https://docs.google.com/spreadsheets/d/1QqKyyYR6Q21VydFLVH3TRQUabQu_ym0Zz7PgGX0-kHA/edit?usp=sharing"",""แผน!EB46"")"),25)</f>
        <v>25</v>
      </c>
      <c r="J288" s="674">
        <f ca="1">IF(AND(J291&gt;=I288,J294&gt;=I288),J294,0)</f>
        <v>25</v>
      </c>
      <c r="K288" s="410">
        <f t="shared" ca="1" si="130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4">
        <v>25</v>
      </c>
      <c r="K290" s="163">
        <f t="shared" ref="K290:K291" ca="1" si="13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4">
        <v>25</v>
      </c>
      <c r="K291" s="163">
        <f t="shared" ca="1" si="131"/>
        <v>100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4">
        <v>25</v>
      </c>
      <c r="K293" s="163">
        <f t="shared" ref="K293:K294" ca="1" si="132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IFERROR(__xludf.DUMMYFUNCTION("IMPORTRANGE(""https://docs.google.com/spreadsheets/d/1QqKyyYR6Q21VydFLVH3TRQUabQu_ym0Zz7PgGX0-kHA/edit?usp=sharing"",""แผน!EB46"")"),25)</f>
        <v>25</v>
      </c>
      <c r="J294" s="423">
        <v>25</v>
      </c>
      <c r="K294" s="384">
        <f t="shared" ca="1" si="132"/>
        <v>100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20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82400</v>
      </c>
      <c r="M301" s="496">
        <f t="shared" ca="1" si="138"/>
        <v>49120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IFERROR(__xludf.DUMMYFUNCTION("IMPORTRANGE(""https://docs.google.com/spreadsheets/d/1MeEWN-I1oV_STSDYn1IFDPWt_1FKiwhDph83XaGc0o0/edit?usp=sharing"",""งบพรบ!DX46"")"),49120)</f>
        <v>49120</v>
      </c>
      <c r="N303" s="93">
        <f ca="1">IFERROR(__xludf.DUMMYFUNCTION("IMPORTRANGE(""https://docs.google.com/spreadsheets/d/1MeEWN-I1oV_STSDYn1IFDPWt_1FKiwhDph83XaGc0o0/edit?usp=sharing"",""งบพรบ!DZ46"")"),0)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IFERROR(__xludf.DUMMYFUNCTION("IMPORTRANGE(""https://docs.google.com/spreadsheets/d/1QqKyyYR6Q21VydFLVH3TRQUabQu_ym0Zz7PgGX0-kHA/edit?usp=sharing"",""แผน!ED46"")"),20)</f>
        <v>20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IFERROR(__xludf.DUMMYFUNCTION("IMPORTRANGE(""https://docs.google.com/spreadsheets/d/1QqKyyYR6Q21VydFLVH3TRQUabQu_ym0Zz7PgGX0-kHA/edit?usp=sharing"",""แผน!ED46"")"),20)</f>
        <v>20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IFERROR(__xludf.DUMMYFUNCTION("IMPORTRANGE(""https://docs.google.com/spreadsheets/d/1QqKyyYR6Q21VydFLVH3TRQUabQu_ym0Zz7PgGX0-kHA/edit?usp=sharing"",""แผน!ED46"")"),20)</f>
        <v>20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IFERROR(__xludf.DUMMYFUNCTION("IMPORTRANGE(""https://docs.google.com/spreadsheets/d/1QqKyyYR6Q21VydFLVH3TRQUabQu_ym0Zz7PgGX0-kHA/edit?usp=sharing"",""แผน!EE46"")"),4)</f>
        <v>4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IFERROR(__xludf.DUMMYFUNCTION("IMPORTRANGE(""https://docs.google.com/spreadsheets/d/1QqKyyYR6Q21VydFLVH3TRQUabQu_ym0Zz7PgGX0-kHA/edit?usp=sharing"",""แผน!EF46"")"),0)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IFERROR(__xludf.DUMMYFUNCTION("IMPORTRANGE(""https://docs.google.com/spreadsheets/d/1QqKyyYR6Q21VydFLVH3TRQUabQu_ym0Zz7PgGX0-kHA/edit?usp=sharing"",""แผน!EG46"")"),5300)</f>
        <v>5300</v>
      </c>
      <c r="J327" s="443">
        <f ca="1">J338+J341+J342+J343</f>
        <v>513</v>
      </c>
      <c r="K327" s="444">
        <f ca="1">IF(I327&gt;0,J327*100/I327,0)</f>
        <v>9.6792452830188687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178000</v>
      </c>
      <c r="M328" s="155">
        <f t="shared" ca="1" si="148"/>
        <v>89000</v>
      </c>
      <c r="N328" s="155">
        <f t="shared" ca="1" si="148"/>
        <v>41446</v>
      </c>
      <c r="O328" s="155">
        <f t="shared" ref="O328:O336" ca="1" si="149">IF(L328&gt;0,N328*100/L328,0)</f>
        <v>23.28426966292135</v>
      </c>
      <c r="P328" s="155">
        <f t="shared" ref="P328:P336" ca="1" si="150">IF(M328&gt;0,N328*100/M328,0)</f>
        <v>46.5685393258427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178000</v>
      </c>
      <c r="M330" s="93">
        <f t="shared" ca="1" si="151"/>
        <v>89000</v>
      </c>
      <c r="N330" s="93">
        <f t="shared" ca="1" si="151"/>
        <v>41446</v>
      </c>
      <c r="O330" s="93">
        <f t="shared" ca="1" si="149"/>
        <v>23.28426966292135</v>
      </c>
      <c r="P330" s="93">
        <f t="shared" ca="1" si="150"/>
        <v>46.5685393258427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178000</v>
      </c>
      <c r="M331" s="496">
        <f t="shared" ca="1" si="152"/>
        <v>89000</v>
      </c>
      <c r="N331" s="496">
        <f t="shared" ca="1" si="152"/>
        <v>41446</v>
      </c>
      <c r="O331" s="496">
        <f t="shared" ca="1" si="149"/>
        <v>23.28426966292135</v>
      </c>
      <c r="P331" s="496">
        <f t="shared" ca="1" si="150"/>
        <v>46.5685393258427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IFERROR(__xludf.DUMMYFUNCTION("IMPORTRANGE(""https://docs.google.com/spreadsheets/d/1MeEWN-I1oV_STSDYn1IFDPWt_1FKiwhDph83XaGc0o0/edit?usp=sharing"",""งบพรบ!ER46"")"),89000)</f>
        <v>89000</v>
      </c>
      <c r="N333" s="93">
        <f ca="1">IFERROR(__xludf.DUMMYFUNCTION("IMPORTRANGE(""https://docs.google.com/spreadsheets/d/1MeEWN-I1oV_STSDYn1IFDPWt_1FKiwhDph83XaGc0o0/edit?usp=sharing"",""งบพรบ!ET46"")"),41446)</f>
        <v>41446</v>
      </c>
      <c r="O333" s="93">
        <f t="shared" ca="1" si="149"/>
        <v>23.28426966292135</v>
      </c>
      <c r="P333" s="93">
        <f t="shared" ca="1" si="150"/>
        <v>46.5685393258427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IFERROR(__xludf.DUMMYFUNCTION("IMPORTRANGE(""https://docs.google.com/spreadsheets/d/1QqKyyYR6Q21VydFLVH3TRQUabQu_ym0Zz7PgGX0-kHA/edit?usp=sharing"",""แผน!EG46"")"),5300)</f>
        <v>5300</v>
      </c>
      <c r="J338" s="269">
        <f ca="1">IFERROR(__xludf.DUMMYFUNCTION("IMPORTRANGE(""https://docs.google.com/spreadsheets/d/1kVcqe37tkHyjCSG3S0O1AXqVkqjo8mSIZil3BcpIysc/edit?usp=sharing"",""ศูนย์!D46"")"),513)</f>
        <v>513</v>
      </c>
      <c r="K338" s="496">
        <f ca="1">IF(I338&gt;0,J338*100/I338,0)</f>
        <v>9.6792452830188687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IFERROR(__xludf.DUMMYFUNCTION("IMPORTRANGE(""https://docs.google.com/spreadsheets/d/1QqKyyYR6Q21VydFLVH3TRQUabQu_ym0Zz7PgGX0-kHA/edit?usp=sharing"",""แผน!EH46"")"),5)</f>
        <v>5</v>
      </c>
      <c r="J340" s="269">
        <f ca="1">IFERROR(__xludf.DUMMYFUNCTION("IMPORTRANGE(""https://docs.google.com/spreadsheets/d/1kVcqe37tkHyjCSG3S0O1AXqVkqjo8mSIZil3BcpIysc/edit?usp=sharing"",""ศูนย์!E46"")"),0)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IFERROR(__xludf.DUMMYFUNCTION("IMPORTRANGE(""https://docs.google.com/spreadsheets/d/1kVcqe37tkHyjCSG3S0O1AXqVkqjo8mSIZil3BcpIysc/edit?usp=sharing"",""ศูนย์!F46"")"),0)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IFERROR(__xludf.DUMMYFUNCTION("IMPORTRANGE(""https://docs.google.com/spreadsheets/d/1kVcqe37tkHyjCSG3S0O1AXqVkqjo8mSIZil3BcpIysc/edit?usp=sharing"",""ศูนย์!G46"")"),0)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IFERROR(__xludf.DUMMYFUNCTION("IMPORTRANGE(""https://docs.google.com/spreadsheets/d/1kVcqe37tkHyjCSG3S0O1AXqVkqjo8mSIZil3BcpIysc/edit?usp=sharing"",""ศูนย์!H46"")"),0)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2144960</v>
      </c>
      <c r="M345" s="155">
        <f t="shared" ca="1" si="154"/>
        <v>1309576</v>
      </c>
      <c r="N345" s="155">
        <f t="shared" ca="1" si="154"/>
        <v>455278.6</v>
      </c>
      <c r="O345" s="155">
        <f t="shared" ref="O345:O353" ca="1" si="155">IF(L345&gt;0,N345*100/L345,0)</f>
        <v>21.225505370729525</v>
      </c>
      <c r="P345" s="155">
        <f t="shared" ref="P345:P353" ca="1" si="156">IF(M345&gt;0,N345*100/M345,0)</f>
        <v>34.765343897566844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2144960</v>
      </c>
      <c r="M347" s="93">
        <f t="shared" ca="1" si="157"/>
        <v>1309576</v>
      </c>
      <c r="N347" s="93">
        <f t="shared" ca="1" si="157"/>
        <v>455278.6</v>
      </c>
      <c r="O347" s="93">
        <f t="shared" ca="1" si="155"/>
        <v>21.225505370729525</v>
      </c>
      <c r="P347" s="93">
        <f t="shared" ca="1" si="156"/>
        <v>34.765343897566844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1977760</v>
      </c>
      <c r="M348" s="496">
        <f t="shared" ca="1" si="158"/>
        <v>1144556</v>
      </c>
      <c r="N348" s="496">
        <f t="shared" ca="1" si="158"/>
        <v>290258.59999999998</v>
      </c>
      <c r="O348" s="496">
        <f t="shared" ca="1" si="155"/>
        <v>14.676128549470105</v>
      </c>
      <c r="P348" s="496">
        <f t="shared" ca="1" si="156"/>
        <v>25.35992996410835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IFERROR(__xludf.DUMMYFUNCTION("IMPORTRANGE(""https://docs.google.com/spreadsheets/d/1MeEWN-I1oV_STSDYn1IFDPWt_1FKiwhDph83XaGc0o0/edit?usp=sharing"",""งบพรบ!FB46"")"),1144556)</f>
        <v>1144556</v>
      </c>
      <c r="N350" s="93">
        <f ca="1">IFERROR(__xludf.DUMMYFUNCTION("IMPORTRANGE(""https://docs.google.com/spreadsheets/d/1MeEWN-I1oV_STSDYn1IFDPWt_1FKiwhDph83XaGc0o0/edit?usp=sharing"",""งบพรบ!FD46"")"),290258.6)</f>
        <v>290258.59999999998</v>
      </c>
      <c r="O350" s="93">
        <f t="shared" ca="1" si="155"/>
        <v>14.676128549470105</v>
      </c>
      <c r="P350" s="93">
        <f t="shared" ca="1" si="156"/>
        <v>25.35992996410835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167200</v>
      </c>
      <c r="M351" s="496">
        <f t="shared" ca="1" si="159"/>
        <v>165020</v>
      </c>
      <c r="N351" s="496">
        <f t="shared" ca="1" si="159"/>
        <v>165020</v>
      </c>
      <c r="O351" s="496">
        <f t="shared" ca="1" si="155"/>
        <v>98.696172248803833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5"/>
        <v>98.696172248803833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IFERROR(__xludf.DUMMYFUNCTION("IMPORTRANGE(""https://docs.google.com/spreadsheets/d/1QqKyyYR6Q21VydFLVH3TRQUabQu_ym0Zz7PgGX0-kHA/edit?usp=sharing"",""แผน!EP46"")"),1000)</f>
        <v>1000</v>
      </c>
      <c r="J355" s="463">
        <f ca="1">J362</f>
        <v>17</v>
      </c>
      <c r="K355" s="464">
        <f ca="1">IF(I355&gt;0,J355*100/I355,0)</f>
        <v>1.7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IFERROR(__xludf.DUMMYFUNCTION("IMPORTRANGE(""https://docs.google.com/spreadsheets/d/1XWAQStnk-4SwqDmLtmXYiTMKHgktTP8We1SCoS47DrQ/edit?usp=sharing"",""จัดที่ดิน!W46"")"),250)</f>
        <v>250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IFERROR(__xludf.DUMMYFUNCTION("IMPORTRANGE(""https://docs.google.com/spreadsheets/d/1QqKyyYR6Q21VydFLVH3TRQUabQu_ym0Zz7PgGX0-kHA/edit?usp=sharing"",""แผน!EO46"")"),10000)</f>
        <v>10000</v>
      </c>
      <c r="J359" s="269">
        <f ca="1">IFERROR(__xludf.DUMMYFUNCTION("IMPORTRANGE(""https://docs.google.com/spreadsheets/d/1XWAQStnk-4SwqDmLtmXYiTMKHgktTP8We1SCoS47DrQ/edit?usp=sharing"",""จัดที่ดิน!X46"")"),1620)</f>
        <v>1620</v>
      </c>
      <c r="K359" s="496">
        <f t="shared" ca="1" si="160"/>
        <v>16.2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IFERROR(__xludf.DUMMYFUNCTION("IMPORTRANGE(""https://docs.google.com/spreadsheets/d/1QqKyyYR6Q21VydFLVH3TRQUabQu_ym0Zz7PgGX0-kHA/edit?usp=sharing"",""แผน!EP46"")"),1000)</f>
        <v>1000</v>
      </c>
      <c r="J360" s="269">
        <f ca="1">IFERROR(__xludf.DUMMYFUNCTION("IMPORTRANGE(""https://docs.google.com/spreadsheets/d/1XWAQStnk-4SwqDmLtmXYiTMKHgktTP8We1SCoS47DrQ/edit?usp=sharing"",""จัดที่ดิน!Y46"")"),138)</f>
        <v>138</v>
      </c>
      <c r="K360" s="496">
        <f t="shared" ca="1" si="160"/>
        <v>13.8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IFERROR(__xludf.DUMMYFUNCTION("IMPORTRANGE(""https://docs.google.com/spreadsheets/d/1XWAQStnk-4SwqDmLtmXYiTMKHgktTP8We1SCoS47DrQ/edit?usp=sharing"",""จัดที่ดิน!Z46"")"),907.89)</f>
        <v>907.89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IFERROR(__xludf.DUMMYFUNCTION("IMPORTRANGE(""https://docs.google.com/spreadsheets/d/1QqKyyYR6Q21VydFLVH3TRQUabQu_ym0Zz7PgGX0-kHA/edit?usp=sharing"",""แผน!EP46"")"),1000)</f>
        <v>1000</v>
      </c>
      <c r="J362" s="269">
        <f ca="1">IFERROR(__xludf.DUMMYFUNCTION("IMPORTRANGE(""https://docs.google.com/spreadsheets/d/1XWAQStnk-4SwqDmLtmXYiTMKHgktTP8We1SCoS47DrQ/edit?usp=sharing"",""จัดที่ดิน!AA46"")"),17)</f>
        <v>17</v>
      </c>
      <c r="K362" s="496">
        <f t="shared" ca="1" si="160"/>
        <v>1.7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IFERROR(__xludf.DUMMYFUNCTION("IMPORTRANGE(""https://docs.google.com/spreadsheets/d/1XWAQStnk-4SwqDmLtmXYiTMKHgktTP8We1SCoS47DrQ/edit?usp=sharing"",""จัดที่ดิน!AB46"")"),164.88)</f>
        <v>164.88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2200</v>
      </c>
      <c r="J364" s="477">
        <f t="shared" ca="1" si="161"/>
        <v>41</v>
      </c>
      <c r="K364" s="478">
        <f t="shared" ca="1" si="160"/>
        <v>1.8636363636363635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IFERROR(__xludf.DUMMYFUNCTION("IMPORTRANGE(""https://docs.google.com/spreadsheets/d/1QqKyyYR6Q21VydFLVH3TRQUabQu_ym0Zz7PgGX0-kHA/edit?usp=sharing"",""แผน!EJ46"")"),300)</f>
        <v>300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IFERROR(__xludf.DUMMYFUNCTION("IMPORTRANGE(""https://docs.google.com/spreadsheets/d/1XWAQStnk-4SwqDmLtmXYiTMKHgktTP8We1SCoS47DrQ/edit?usp=sharing"",""จัดที่ดิน!E46"")"),59)</f>
        <v>59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IFERROR(__xludf.DUMMYFUNCTION("IMPORTRANGE(""https://docs.google.com/spreadsheets/d/1QqKyyYR6Q21VydFLVH3TRQUabQu_ym0Zz7PgGX0-kHA/edit?usp=sharing"",""แผน!EI46"")"),3000)</f>
        <v>3000</v>
      </c>
      <c r="J369" s="269">
        <f ca="1">IFERROR(__xludf.DUMMYFUNCTION("IMPORTRANGE(""https://docs.google.com/spreadsheets/d/1XWAQStnk-4SwqDmLtmXYiTMKHgktTP8We1SCoS47DrQ/edit?usp=sharing"",""จัดที่ดิน!F46"")"),311.73)</f>
        <v>311.73</v>
      </c>
      <c r="K369" s="496">
        <f t="shared" ca="1" si="162"/>
        <v>10.391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IFERROR(__xludf.DUMMYFUNCTION("IMPORTRANGE(""https://docs.google.com/spreadsheets/d/1QqKyyYR6Q21VydFLVH3TRQUabQu_ym0Zz7PgGX0-kHA/edit?usp=sharing"",""แผน!EJ46"")"),300)</f>
        <v>300</v>
      </c>
      <c r="J370" s="269">
        <f ca="1">IFERROR(__xludf.DUMMYFUNCTION("IMPORTRANGE(""https://docs.google.com/spreadsheets/d/1XWAQStnk-4SwqDmLtmXYiTMKHgktTP8We1SCoS47DrQ/edit?usp=sharing"",""จัดที่ดิน!G46"")"),0)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IFERROR(__xludf.DUMMYFUNCTION("IMPORTRANGE(""https://docs.google.com/spreadsheets/d/1XWAQStnk-4SwqDmLtmXYiTMKHgktTP8We1SCoS47DrQ/edit?usp=sharing"",""จัดที่ดิน!H46"")"),0)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IFERROR(__xludf.DUMMYFUNCTION("IMPORTRANGE(""https://docs.google.com/spreadsheets/d/1QqKyyYR6Q21VydFLVH3TRQUabQu_ym0Zz7PgGX0-kHA/edit?usp=sharing"",""แผน!EJ46"")"),300)</f>
        <v>300</v>
      </c>
      <c r="J372" s="269">
        <f ca="1">IFERROR(__xludf.DUMMYFUNCTION("IMPORTRANGE(""https://docs.google.com/spreadsheets/d/1XWAQStnk-4SwqDmLtmXYiTMKHgktTP8We1SCoS47DrQ/edit?usp=sharing"",""จัดที่ดิน!I46"")"),0)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IFERROR(__xludf.DUMMYFUNCTION("IMPORTRANGE(""https://docs.google.com/spreadsheets/d/1XWAQStnk-4SwqDmLtmXYiTMKHgktTP8We1SCoS47DrQ/edit?usp=sharing"",""จัดที่ดิน!J46"")"),0)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IFERROR(__xludf.DUMMYFUNCTION("IMPORTRANGE(""https://docs.google.com/spreadsheets/d/1QqKyyYR6Q21VydFLVH3TRQUabQu_ym0Zz7PgGX0-kHA/edit?usp=sharing"",""แผน!EU46"")"),1900)</f>
        <v>1900</v>
      </c>
      <c r="J374" s="489">
        <f ca="1">J381</f>
        <v>41</v>
      </c>
      <c r="K374" s="490">
        <f t="shared" ca="1" si="162"/>
        <v>2.1578947368421053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IFERROR(__xludf.DUMMYFUNCTION("IMPORTRANGE(""https://docs.google.com/spreadsheets/d/1XWAQStnk-4SwqDmLtmXYiTMKHgktTP8We1SCoS47DrQ/edit?usp=sharing"",""จัดที่ดิน!AH46"")"),191)</f>
        <v>191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IFERROR(__xludf.DUMMYFUNCTION("IMPORTRANGE(""https://docs.google.com/spreadsheets/d/1QqKyyYR6Q21VydFLVH3TRQUabQu_ym0Zz7PgGX0-kHA/edit?usp=sharing"",""แผน!ET46"")"),7000)</f>
        <v>7000</v>
      </c>
      <c r="J378" s="269">
        <f ca="1">IFERROR(__xludf.DUMMYFUNCTION("IMPORTRANGE(""https://docs.google.com/spreadsheets/d/1XWAQStnk-4SwqDmLtmXYiTMKHgktTP8We1SCoS47DrQ/edit?usp=sharing"",""จัดที่ดิน!AI46"")"),1308.27)</f>
        <v>1308.27</v>
      </c>
      <c r="K378" s="496">
        <f t="shared" ca="1" si="163"/>
        <v>18.68957142857143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IFERROR(__xludf.DUMMYFUNCTION("IMPORTRANGE(""https://docs.google.com/spreadsheets/d/1QqKyyYR6Q21VydFLVH3TRQUabQu_ym0Zz7PgGX0-kHA/edit?usp=sharing"",""แผน!EU46"")"),1900)</f>
        <v>1900</v>
      </c>
      <c r="J379" s="269">
        <f ca="1">IFERROR(__xludf.DUMMYFUNCTION("IMPORTRANGE(""https://docs.google.com/spreadsheets/d/1XWAQStnk-4SwqDmLtmXYiTMKHgktTP8We1SCoS47DrQ/edit?usp=sharing"",""จัดที่ดิน!AJ46"")"),179)</f>
        <v>179</v>
      </c>
      <c r="K379" s="496">
        <f t="shared" ca="1" si="163"/>
        <v>9.4210526315789469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IFERROR(__xludf.DUMMYFUNCTION("IMPORTRANGE(""https://docs.google.com/spreadsheets/d/1XWAQStnk-4SwqDmLtmXYiTMKHgktTP8We1SCoS47DrQ/edit?usp=sharing"",""จัดที่ดิน!AK46"")"),1254.79)</f>
        <v>1254.79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IFERROR(__xludf.DUMMYFUNCTION("IMPORTRANGE(""https://docs.google.com/spreadsheets/d/1QqKyyYR6Q21VydFLVH3TRQUabQu_ym0Zz7PgGX0-kHA/edit?usp=sharing"",""แผน!EU46"")"),1900)</f>
        <v>1900</v>
      </c>
      <c r="J381" s="269">
        <f ca="1">IFERROR(__xludf.DUMMYFUNCTION("IMPORTRANGE(""https://docs.google.com/spreadsheets/d/1XWAQStnk-4SwqDmLtmXYiTMKHgktTP8We1SCoS47DrQ/edit?usp=sharing"",""จัดที่ดิน!AL46"")"),41)</f>
        <v>41</v>
      </c>
      <c r="K381" s="496">
        <f t="shared" ca="1" si="163"/>
        <v>2.1578947368421053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IFERROR(__xludf.DUMMYFUNCTION("IMPORTRANGE(""https://docs.google.com/spreadsheets/d/1XWAQStnk-4SwqDmLtmXYiTMKHgktTP8We1SCoS47DrQ/edit?usp=sharing"",""จัดที่ดิน!AM46"")"),402.62)</f>
        <v>402.62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IFERROR(__xludf.DUMMYFUNCTION("IMPORTRANGE(""https://docs.google.com/spreadsheets/d/1QqKyyYR6Q21VydFLVH3TRQUabQu_ym0Zz7PgGX0-kHA/edit?usp=sharing"",""แผน!EW46"")"),120)</f>
        <v>120</v>
      </c>
      <c r="J385" s="499">
        <f ca="1">IFERROR(__xludf.DUMMYFUNCTION("IMPORTRANGE(""https://docs.google.com/spreadsheets/d/1XWAQStnk-4SwqDmLtmXYiTMKHgktTP8We1SCoS47DrQ/edit?usp=sharing"",""จัดที่ดิน!AP46"")"),0)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3210028</v>
      </c>
      <c r="M414" s="547">
        <f t="shared" si="180"/>
        <v>0</v>
      </c>
      <c r="N414" s="547">
        <f t="shared" si="180"/>
        <v>60616</v>
      </c>
      <c r="O414" s="547">
        <f ca="1">IF(L414&gt;0,N414*100/L414,0)</f>
        <v>1.8883324382217226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50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2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161140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161140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161140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50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2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IFERROR(__xludf.DUMMYFUNCTION("IMPORTRANGE(""https://docs.google.com/spreadsheets/d/1QqKyyYR6Q21VydFLVH3TRQUabQu_ym0Zz7PgGX0-kHA/edit?usp=sharing"",""แผน!FC46"")"),50)</f>
        <v>50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IFERROR(__xludf.DUMMYFUNCTION("IMPORTRANGE(""https://docs.google.com/spreadsheets/d/1QqKyyYR6Q21VydFLVH3TRQUabQu_ym0Zz7PgGX0-kHA/edit?usp=sharing"",""แผน!FD46"")"),30)</f>
        <v>30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IFERROR(__xludf.DUMMYFUNCTION("IMPORTRANGE(""https://docs.google.com/spreadsheets/d/1QqKyyYR6Q21VydFLVH3TRQUabQu_ym0Zz7PgGX0-kHA/edit?usp=sharing"",""แผน!FE46"")"),1)</f>
        <v>1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IFERROR(__xludf.DUMMYFUNCTION("IMPORTRANGE(""https://docs.google.com/spreadsheets/d/1QqKyyYR6Q21VydFLVH3TRQUabQu_ym0Zz7PgGX0-kHA/edit?usp=sharing"",""แผน!FF46"")"),20)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IFERROR(__xludf.DUMMYFUNCTION("IMPORTRANGE(""https://docs.google.com/spreadsheets/d/1QqKyyYR6Q21VydFLVH3TRQUabQu_ym0Zz7PgGX0-kHA/edit?usp=sharing"",""แผน!FG46"")"),1)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IFERROR(__xludf.DUMMYFUNCTION("IMPORTRANGE(""https://docs.google.com/spreadsheets/d/1QqKyyYR6Q21VydFLVH3TRQUabQu_ym0Zz7PgGX0-kHA/edit?usp=sharing"",""แผน!FH46"")"),0)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15</v>
      </c>
      <c r="J442" s="583">
        <f t="shared" si="194"/>
        <v>15</v>
      </c>
      <c r="K442" s="584">
        <f t="shared" ca="1" si="193"/>
        <v>100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150</v>
      </c>
      <c r="J443" s="563">
        <f t="shared" si="195"/>
        <v>150</v>
      </c>
      <c r="K443" s="564">
        <f t="shared" ca="1" si="193"/>
        <v>100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181560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181560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181560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IFERROR(__xludf.DUMMYFUNCTION("IMPORTRANGE(""https://docs.google.com/spreadsheets/d/1QqKyyYR6Q21VydFLVH3TRQUabQu_ym0Zz7PgGX0-kHA/edit?usp=sharing"",""แผน!FN46"")"),15)</f>
        <v>15</v>
      </c>
      <c r="J460" s="214">
        <v>15</v>
      </c>
      <c r="K460" s="496">
        <f ca="1">IF(I460&gt;0,J460*100/I460,0)</f>
        <v>100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IFERROR(__xludf.DUMMYFUNCTION("IMPORTRANGE(""https://docs.google.com/spreadsheets/d/1QqKyyYR6Q21VydFLVH3TRQUabQu_ym0Zz7PgGX0-kHA/edit?usp=sharing"",""แผน!FO46"")"),150)</f>
        <v>150</v>
      </c>
      <c r="J462" s="214">
        <v>150</v>
      </c>
      <c r="K462" s="496">
        <f ca="1">IF(I462&gt;0,J462*100/I462,0)</f>
        <v>100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IFERROR(__xludf.DUMMYFUNCTION("IMPORTRANGE(""https://docs.google.com/spreadsheets/d/1QqKyyYR6Q21VydFLVH3TRQUabQu_ym0Zz7PgGX0-kHA/edit?usp=sharing"",""แผน!FO46"")"),150)</f>
        <v>150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IFERROR(__xludf.DUMMYFUNCTION("IMPORTRANGE(""https://docs.google.com/spreadsheets/d/1QqKyyYR6Q21VydFLVH3TRQUabQu_ym0Zz7PgGX0-kHA/edit?usp=sharing"",""แผน!FN46"")"),15)</f>
        <v>15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IFERROR(__xludf.DUMMYFUNCTION("IMPORTRANGE(""https://docs.google.com/spreadsheets/d/1QqKyyYR6Q21VydFLVH3TRQUabQu_ym0Zz7PgGX0-kHA/edit?usp=sharing"",""แผน!FX46"")"),131)</f>
        <v>131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IFERROR(__xludf.DUMMYFUNCTION("IMPORTRANGE(""https://docs.google.com/spreadsheets/d/1QqKyyYR6Q21VydFLVH3TRQUabQu_ym0Zz7PgGX0-kHA/edit?usp=sharing"",""แผน!FW46"")"),1300)</f>
        <v>1300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1161548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IFERROR(__xludf.DUMMYFUNCTION("IMPORTRANGE(""https://docs.google.com/spreadsheets/d/1QqKyyYR6Q21VydFLVH3TRQUabQu_ym0Zz7PgGX0-kHA/edit?usp=sharing"",""แผน!FS46"")"),1161548)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IFERROR(__xludf.DUMMYFUNCTION("IMPORTRANGE(""https://docs.google.com/spreadsheets/d/1QqKyyYR6Q21VydFLVH3TRQUabQu_ym0Zz7PgGX0-kHA/edit?usp=sharing"",""แผน!FY46"")"),1170)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IFERROR(__xludf.DUMMYFUNCTION("IMPORTRANGE(""https://docs.google.com/spreadsheets/d/1QqKyyYR6Q21VydFLVH3TRQUabQu_ym0Zz7PgGX0-kHA/edit?usp=sharing"",""แผน!FZ46"")"),117)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IFERROR(__xludf.DUMMYFUNCTION("IMPORTRANGE(""https://docs.google.com/spreadsheets/d/1QqKyyYR6Q21VydFLVH3TRQUabQu_ym0Zz7PgGX0-kHA/edit?usp=sharing"",""แผน!GA46"")"),130)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IFERROR(__xludf.DUMMYFUNCTION("IMPORTRANGE(""https://docs.google.com/spreadsheets/d/1QqKyyYR6Q21VydFLVH3TRQUabQu_ym0Zz7PgGX0-kHA/edit?usp=sharing"",""แผน!GB46"")"),13)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IFERROR(__xludf.DUMMYFUNCTION("IMPORTRANGE(""https://docs.google.com/spreadsheets/d/1QqKyyYR6Q21VydFLVH3TRQUabQu_ym0Zz7PgGX0-kHA/edit?usp=sharing"",""แผน!GC46"")"),1)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IFERROR(__xludf.DUMMYFUNCTION("IMPORTRANGE(""https://docs.google.com/spreadsheets/d/1QqKyyYR6Q21VydFLVH3TRQUabQu_ym0Zz7PgGX0-kHA/edit?usp=sharing"",""แผน!FY46"")"),1170)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IFERROR(__xludf.DUMMYFUNCTION("IMPORTRANGE(""https://docs.google.com/spreadsheets/d/1QqKyyYR6Q21VydFLVH3TRQUabQu_ym0Zz7PgGX0-kHA/edit?usp=sharing"",""แผน!GA46"")"),130)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IFERROR(__xludf.DUMMYFUNCTION("IMPORTRANGE(""https://docs.google.com/spreadsheets/d/1QqKyyYR6Q21VydFLVH3TRQUabQu_ym0Zz7PgGX0-kHA/edit?usp=sharing"",""แผน!GU46"")"),0)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IFERROR(__xludf.DUMMYFUNCTION("IMPORTRANGE(""https://docs.google.com/spreadsheets/d/1QqKyyYR6Q21VydFLVH3TRQUabQu_ym0Zz7PgGX0-kHA/edit?usp=sharing"",""แผน!GV46"")"),0)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IFERROR(__xludf.DUMMYFUNCTION("IMPORTRANGE(""https://docs.google.com/spreadsheets/d/1QqKyyYR6Q21VydFLVH3TRQUabQu_ym0Zz7PgGX0-kHA/edit?usp=sharing"",""แผน!GW46"")"),0)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IFERROR(__xludf.DUMMYFUNCTION("IMPORTRANGE(""https://docs.google.com/spreadsheets/d/1QqKyyYR6Q21VydFLVH3TRQUabQu_ym0Zz7PgGX0-kHA/edit?usp=sharing"",""แผน!GX46"")"),0)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IFERROR(__xludf.DUMMYFUNCTION("IMPORTRANGE(""https://docs.google.com/spreadsheets/d/1QqKyyYR6Q21VydFLVH3TRQUabQu_ym0Zz7PgGX0-kHA/edit?usp=sharing"",""แผน!GY46"")"),0)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IFERROR(__xludf.DUMMYFUNCTION("IMPORTRANGE(""https://docs.google.com/spreadsheets/d/1QqKyyYR6Q21VydFLVH3TRQUabQu_ym0Zz7PgGX0-kHA/edit?usp=sharing"",""แผน!GZ46"")"),0)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73156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589260</v>
      </c>
      <c r="M544" s="155">
        <f t="shared" si="235"/>
        <v>0</v>
      </c>
      <c r="N544" s="155">
        <f t="shared" si="235"/>
        <v>60616</v>
      </c>
      <c r="O544" s="155">
        <f t="shared" ref="O544:O549" ca="1" si="236">IF(L544&gt;0,N544*100/L544,0)</f>
        <v>10.286800393714151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589260</v>
      </c>
      <c r="M546" s="93">
        <f t="shared" si="239"/>
        <v>0</v>
      </c>
      <c r="N546" s="93">
        <f t="shared" si="239"/>
        <v>60616</v>
      </c>
      <c r="O546" s="93">
        <f t="shared" ca="1" si="236"/>
        <v>10.286800393714151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589260</v>
      </c>
      <c r="M547" s="496">
        <f t="shared" si="240"/>
        <v>0</v>
      </c>
      <c r="N547" s="496">
        <f t="shared" si="240"/>
        <v>60616</v>
      </c>
      <c r="O547" s="496">
        <f t="shared" ca="1" si="236"/>
        <v>10.286800393714151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IFERROR(__xludf.DUMMYFUNCTION("IMPORTRANGE(""https://docs.google.com/spreadsheets/d/1QqKyyYR6Q21VydFLVH3TRQUabQu_ym0Zz7PgGX0-kHA/edit?usp=sharing"",""แผน!HB46"")"),589260)</f>
        <v>589260</v>
      </c>
      <c r="M549" s="93">
        <v>0</v>
      </c>
      <c r="N549" s="93">
        <f>N550+N551+N552+N553+N554</f>
        <v>60616</v>
      </c>
      <c r="O549" s="93">
        <f t="shared" ca="1" si="236"/>
        <v>10.286800393714151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11320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49296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73156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IFERROR(__xludf.DUMMYFUNCTION("IMPORTRANGE(""https://docs.google.com/spreadsheets/d/1QqKyyYR6Q21VydFLVH3TRQUabQu_ym0Zz7PgGX0-kHA/edit?usp=sharing"",""แผน!HH46"")"),73156)</f>
        <v>73156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IFERROR(__xludf.DUMMYFUNCTION("IMPORTRANGE(""https://docs.google.com/spreadsheets/d/1QqKyyYR6Q21VydFLVH3TRQUabQu_ym0Zz7PgGX0-kHA/edit?usp=sharing"",""แผน!HH46"")"),73156)</f>
        <v>73156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IFERROR(__xludf.DUMMYFUNCTION("IMPORTRANGE(""https://docs.google.com/spreadsheets/d/1QqKyyYR6Q21VydFLVH3TRQUabQu_ym0Zz7PgGX0-kHA/edit?usp=sharing"",""แผน!HH46"")"),73156)</f>
        <v>73156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3485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IFERROR(__xludf.DUMMYFUNCTION("IMPORTRANGE(""https://docs.google.com/spreadsheets/d/1QqKyyYR6Q21VydFLVH3TRQUabQu_ym0Zz7PgGX0-kHA/edit?usp=sharing"",""แผน!HJ46"")"),3485)</f>
        <v>3485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IFERROR(__xludf.DUMMYFUNCTION("IMPORTRANGE(""https://docs.google.com/spreadsheets/d/1QqKyyYR6Q21VydFLVH3TRQUabQu_ym0Zz7PgGX0-kHA/edit?usp=sharing"",""แผน!HL46"")"),0)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IFERROR(__xludf.DUMMYFUNCTION("IMPORTRANGE(""https://docs.google.com/spreadsheets/d/1QqKyyYR6Q21VydFLVH3TRQUabQu_ym0Zz7PgGX0-kHA/edit?usp=sharing"",""แผน!HK46"")"),0)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700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873460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873460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873460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IFERROR(__xludf.DUMMYFUNCTION("IMPORTRANGE(""https://docs.google.com/spreadsheets/d/1QqKyyYR6Q21VydFLVH3TRQUabQu_ym0Zz7PgGX0-kHA/edit?usp=sharing"",""แผน!HR46"")"),0)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IFERROR(__xludf.DUMMYFUNCTION("IMPORTRANGE(""https://docs.google.com/spreadsheets/d/1QqKyyYR6Q21VydFLVH3TRQUabQu_ym0Zz7PgGX0-kHA/edit?usp=sharing"",""แผน!HR46"")"),0)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IFERROR(__xludf.DUMMYFUNCTION("IMPORTRANGE(""https://docs.google.com/spreadsheets/d/1XWAQStnk-4SwqDmLtmXYiTMKHgktTP8We1SCoS47DrQ/edit?usp=sharing"",""จัดที่ดิน!AS46"")"),177)</f>
        <v>177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IFERROR(__xludf.DUMMYFUNCTION("IMPORTRANGE(""https://docs.google.com/spreadsheets/d/1XWAQStnk-4SwqDmLtmXYiTMKHgktTP8We1SCoS47DrQ/edit?usp=sharing"",""จัดที่ดิน!AT46"")"),119.27)</f>
        <v>119.27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IFERROR(__xludf.DUMMYFUNCTION("IMPORTRANGE(""https://docs.google.com/spreadsheets/d/1QqKyyYR6Q21VydFLVH3TRQUabQu_ym0Zz7PgGX0-kHA/edit?usp=sharing"",""แผน!HS46"")"),700)</f>
        <v>700</v>
      </c>
      <c r="J647" s="269">
        <f ca="1">IFERROR(__xludf.DUMMYFUNCTION("IMPORTRANGE(""https://docs.google.com/spreadsheets/d/1XWAQStnk-4SwqDmLtmXYiTMKHgktTP8We1SCoS47DrQ/edit?usp=sharing"",""จัดที่ดิน!AU46"")"),0)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IFERROR(__xludf.DUMMYFUNCTION("IMPORTRANGE(""https://docs.google.com/spreadsheets/d/1XWAQStnk-4SwqDmLtmXYiTMKHgktTP8We1SCoS47DrQ/edit?usp=sharing"",""จัดที่ดิน!AV46"")"),0)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IFERROR(__xludf.DUMMYFUNCTION("IMPORTRANGE(""https://docs.google.com/spreadsheets/d/1QqKyyYR6Q21VydFLVH3TRQUabQu_ym0Zz7PgGX0-kHA/edit?usp=sharing"",""แผน!HS46"")"),700)</f>
        <v>700</v>
      </c>
      <c r="J649" s="269">
        <f ca="1">IFERROR(__xludf.DUMMYFUNCTION("IMPORTRANGE(""https://docs.google.com/spreadsheets/d/1XWAQStnk-4SwqDmLtmXYiTMKHgktTP8We1SCoS47DrQ/edit?usp=sharing"",""จัดที่ดิน!AW46"")"),0)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IFERROR(__xludf.DUMMYFUNCTION("IMPORTRANGE(""https://docs.google.com/spreadsheets/d/1XWAQStnk-4SwqDmLtmXYiTMKHgktTP8We1SCoS47DrQ/edit?usp=sharing"",""จัดที่ดิน!AX46"")"),0)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IFERROR(__xludf.DUMMYFUNCTION("IMPORTRANGE(""https://docs.google.com/spreadsheets/d/1QqKyyYR6Q21VydFLVH3TRQUabQu_ym0Zz7PgGX0-kHA/edit?usp=sharing"",""แผน!HS46"")"),700)</f>
        <v>700</v>
      </c>
      <c r="J651" s="269">
        <f ca="1">IFERROR(__xludf.DUMMYFUNCTION("IMPORTRANGE(""https://docs.google.com/spreadsheets/d/1XWAQStnk-4SwqDmLtmXYiTMKHgktTP8We1SCoS47DrQ/edit?usp=sharing"",""จัดที่ดิน!AY46"")"),0)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IFERROR(__xludf.DUMMYFUNCTION("IMPORTRANGE(""https://docs.google.com/spreadsheets/d/1XWAQStnk-4SwqDmLtmXYiTMKHgktTP8We1SCoS47DrQ/edit?usp=sharing"",""จัดที่ดิน!AZ46"")"),0)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100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15600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15600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15600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IFERROR(__xludf.DUMMYFUNCTION("IMPORTRANGE(""https://docs.google.com/spreadsheets/d/1QqKyyYR6Q21VydFLVH3TRQUabQu_ym0Zz7PgGX0-kHA/edit?usp=sharing"",""แผน!IA46"")"),100)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IFERROR(__xludf.DUMMYFUNCTION("IMPORTRANGE(""https://docs.google.com/spreadsheets/d/1QqKyyYR6Q21VydFLVH3TRQUabQu_ym0Zz7PgGX0-kHA/edit?usp=sharing"",""แผน!HZ46"")"),6)</f>
        <v>6</v>
      </c>
      <c r="J670" s="214">
        <v>6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IFERROR(__xludf.DUMMYFUNCTION("IMPORTRANGE(""https://docs.google.com/spreadsheets/d/1QqKyyYR6Q21VydFLVH3TRQUabQu_ym0Zz7PgGX0-kHA/edit?usp=sharing"",""แผน!HZ46"")"),6)</f>
        <v>6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IFERROR(__xludf.DUMMYFUNCTION("IMPORTRANGE(""https://docs.google.com/spreadsheets/d/1QqKyyYR6Q21VydFLVH3TRQUabQu_ym0Zz7PgGX0-kHA/edit?usp=sharing"",""แผน!IB46"")"),0)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13540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13540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13540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IFERROR(__xludf.DUMMYFUNCTION("IMPORTRANGE(""https://docs.google.com/spreadsheets/d/1QqKyyYR6Q21VydFLVH3TRQUabQu_ym0Zz7PgGX0-kHA/edit?usp=sharing"",""แผน!IC46"")"),0)</f>
        <v>0</v>
      </c>
      <c r="J699" s="269">
        <f ca="1">IFERROR(__xludf.DUMMYFUNCTION("IMPORTRANGE(""https://docs.google.com/spreadsheets/d/1XWAQStnk-4SwqDmLtmXYiTMKHgktTP8We1SCoS47DrQ/edit?usp=sharing"",""จัดที่ดิน!BB46"")"),0)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IFERROR(__xludf.DUMMYFUNCTION("IMPORTRANGE(""https://docs.google.com/spreadsheets/d/1QqKyyYR6Q21VydFLVH3TRQUabQu_ym0Zz7PgGX0-kHA/edit?usp=sharing"",""แผน!ID46"")"),15)</f>
        <v>15</v>
      </c>
      <c r="J700" s="269">
        <f ca="1">IFERROR(__xludf.DUMMYFUNCTION("IMPORTRANGE(""https://docs.google.com/spreadsheets/d/1XWAQStnk-4SwqDmLtmXYiTMKHgktTP8We1SCoS47DrQ/edit?usp=sharing"",""จัดที่ดิน!BD46"")"),0)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IFERROR(__xludf.DUMMYFUNCTION("IMPORTRANGE(""https://docs.google.com/spreadsheets/d/1QqKyyYR6Q21VydFLVH3TRQUabQu_ym0Zz7PgGX0-kHA/edit?usp=sharing"",""แผน!IE46"")"),0)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IFERROR(__xludf.DUMMYFUNCTION("IMPORTRANGE(""https://docs.google.com/spreadsheets/d/1QqKyyYR6Q21VydFLVH3TRQUabQu_ym0Zz7PgGX0-kHA/edit?usp=sharing"",""แผน!IF46"")"),0)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IFERROR(__xludf.DUMMYFUNCTION("IMPORTRANGE(""https://docs.google.com/spreadsheets/d/1QqKyyYR6Q21VydFLVH3TRQUabQu_ym0Zz7PgGX0-kHA/edit?usp=sharing"",""แผน!IG46"")"),0)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IFERROR(__xludf.DUMMYFUNCTION("IMPORTRANGE(""https://docs.google.com/spreadsheets/d/1QqKyyYR6Q21VydFLVH3TRQUabQu_ym0Zz7PgGX0-kHA/edit?usp=sharing"",""แผน!IH46"")"),342)</f>
        <v>342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IFERROR(__xludf.DUMMYFUNCTION("IMPORTRANGE(""https://docs.google.com/spreadsheets/d/1XWAQStnk-4SwqDmLtmXYiTMKHgktTP8We1SCoS47DrQ/edit?usp=sharing"",""จัดที่ดิน!BF46"")"),0)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IFERROR(__xludf.DUMMYFUNCTION("IMPORTRANGE(""https://docs.google.com/spreadsheets/d/1XWAQStnk-4SwqDmLtmXYiTMKHgktTP8We1SCoS47DrQ/edit?usp=sharing"",""จัดที่ดิน!BG46"")"),0)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IFERROR(__xludf.DUMMYFUNCTION("IMPORTRANGE(""https://docs.google.com/spreadsheets/d/1QqKyyYR6Q21VydFLVH3TRQUabQu_ym0Zz7PgGX0-kHA/edit?usp=sharing"",""แผน!II46"")"),130)</f>
        <v>130</v>
      </c>
      <c r="J720" s="269">
        <f ca="1">IFERROR(__xludf.DUMMYFUNCTION("IMPORTRANGE(""https://docs.google.com/spreadsheets/d/1XWAQStnk-4SwqDmLtmXYiTMKHgktTP8We1SCoS47DrQ/edit?usp=sharing"",""จัดที่ดิน!BH46"")"),0)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IFERROR(__xludf.DUMMYFUNCTION("IMPORTRANGE(""https://docs.google.com/spreadsheets/d/1QqKyyYR6Q21VydFLVH3TRQUabQu_ym0Zz7PgGX0-kHA/edit?usp=sharing"",""แผน!IJ46"")"),0)</f>
        <v>0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IFERROR(__xludf.DUMMYFUNCTION("IMPORTRANGE(""https://docs.google.com/spreadsheets/d/1QqKyyYR6Q21VydFLVH3TRQUabQu_ym0Zz7PgGX0-kHA/edit?usp=sharing"",""แผน!IK46"")"),0)</f>
        <v>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IFERROR(__xludf.DUMMYFUNCTION("IMPORTRANGE(""https://docs.google.com/spreadsheets/d/1QqKyyYR6Q21VydFLVH3TRQUabQu_ym0Zz7PgGX0-kHA/edit?usp=sharing"",""แผน!IL46"")"),0)</f>
        <v>0</v>
      </c>
      <c r="J723" s="269">
        <f ca="1">IFERROR(__xludf.DUMMYFUNCTION("IMPORTRANGE(""https://docs.google.com/spreadsheets/d/1XWAQStnk-4SwqDmLtmXYiTMKHgktTP8We1SCoS47DrQ/edit?usp=sharing"",""จัดที่ดิน!BM46"")"),0)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IFERROR(__xludf.DUMMYFUNCTION("IMPORTRANGE(""https://docs.google.com/spreadsheets/d/1XWAQStnk-4SwqDmLtmXYiTMKHgktTP8We1SCoS47DrQ/edit?usp=sharing"",""จัดที่ดิน!BN46"")"),0)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IFERROR(__xludf.DUMMYFUNCTION("IMPORTRANGE(""https://docs.google.com/spreadsheets/d/1QqKyyYR6Q21VydFLVH3TRQUabQu_ym0Zz7PgGX0-kHA/edit?usp=sharing"",""แผน!IM46"")"),0)</f>
        <v>0</v>
      </c>
      <c r="J725" s="269">
        <f ca="1">IFERROR(__xludf.DUMMYFUNCTION("IMPORTRANGE(""https://docs.google.com/spreadsheets/d/1XWAQStnk-4SwqDmLtmXYiTMKHgktTP8We1SCoS47DrQ/edit?usp=sharing"",""จัดที่ดิน!BO46"")"),0)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IFERROR(__xludf.DUMMYFUNCTION("IMPORTRANGE(""https://docs.google.com/spreadsheets/d/1QqKyyYR6Q21VydFLVH3TRQUabQu_ym0Zz7PgGX0-kHA/edit?usp=sharing"",""แผน!IN46"")"),0)</f>
        <v>0</v>
      </c>
      <c r="J726" s="269">
        <f ca="1">IFERROR(__xludf.DUMMYFUNCTION("IMPORTRANGE(""https://docs.google.com/spreadsheets/d/1XWAQStnk-4SwqDmLtmXYiTMKHgktTP8We1SCoS47DrQ/edit?usp=sharing"",""จัดที่ดิน!BR46"")"),0)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IFERROR(__xludf.DUMMYFUNCTION("IMPORTRANGE(""https://docs.google.com/spreadsheets/d/1XWAQStnk-4SwqDmLtmXYiTMKHgktTP8We1SCoS47DrQ/edit?usp=sharing"",""จัดที่ดิน!BS46"")"),0)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IFERROR(__xludf.DUMMYFUNCTION("IMPORTRANGE(""https://docs.google.com/spreadsheets/d/1QqKyyYR6Q21VydFLVH3TRQUabQu_ym0Zz7PgGX0-kHA/edit?usp=sharing"",""แผน!IO46"")"),0)</f>
        <v>0</v>
      </c>
      <c r="J728" s="269">
        <f ca="1">IFERROR(__xludf.DUMMYFUNCTION("IMPORTRANGE(""https://docs.google.com/spreadsheets/d/1XWAQStnk-4SwqDmLtmXYiTMKHgktTP8We1SCoS47DrQ/edit?usp=sharing"",""จัดที่ดิน!BT46"")"),0)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IFERROR(__xludf.DUMMYFUNCTION("IMPORTRANGE(""https://docs.google.com/spreadsheets/d/1QqKyyYR6Q21VydFLVH3TRQUabQu_ym0Zz7PgGX0-kHA/edit?usp=sharing"",""แผน!IP46"")"),0)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7">I800</f>
        <v>3000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213920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213920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213920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IFERROR(__xludf.DUMMYFUNCTION("IMPORTRANGE(""https://docs.google.com/spreadsheets/d/1QqKyyYR6Q21VydFLVH3TRQUabQu_ym0Zz7PgGX0-kHA/edit?usp=sharing"",""แผน!JN46"")"),3000)</f>
        <v>3000</v>
      </c>
      <c r="J800" s="184">
        <f ca="1">IFERROR(__xludf.DUMMYFUNCTION("IMPORTRANGE(""https://docs.google.com/spreadsheets/d/1MaWodYyGHDf7siQLGxnXhG4mBNTNIuy296niS2xXulU/edit?usp=sharing"",""RTK!H46"")"),0)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IFERROR(__xludf.DUMMYFUNCTION("IMPORTRANGE(""https://docs.google.com/spreadsheets/d/1MaWodYyGHDf7siQLGxnXhG4mBNTNIuy296niS2xXulU/edit?usp=sharing"",""RTK!I46"")"),0)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IFERROR(__xludf.DUMMYFUNCTION("IMPORTRANGE(""https://docs.google.com/spreadsheets/d/19vJNZY_5yjcGF2XGBMNZRCAIB0Kwfpjp8YEOfu-bneM/edit?usp=sharing"",""งานกองทุน!D46"")"),7136452.39)</f>
        <v>7136452.3899999997</v>
      </c>
      <c r="J821" s="269">
        <f ca="1">IFERROR(__xludf.DUMMYFUNCTION("IMPORTRANGE(""https://docs.google.com/spreadsheets/d/19vJNZY_5yjcGF2XGBMNZRCAIB0Kwfpjp8YEOfu-bneM/edit?usp=sharing"",""งานกองทุน!F46"")"),13372.33)</f>
        <v>13372.33</v>
      </c>
      <c r="K821" s="496">
        <f t="shared" ref="K821:K828" ca="1" si="334">IF(I821&gt;0,J821*100/I821,0)</f>
        <v>0.18738063773448646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IFERROR(__xludf.DUMMYFUNCTION("IMPORTRANGE(""https://docs.google.com/spreadsheets/d/19vJNZY_5yjcGF2XGBMNZRCAIB0Kwfpjp8YEOfu-bneM/edit?usp=sharing"",""งานกองทุน!C46"")"),364)</f>
        <v>364</v>
      </c>
      <c r="J822" s="269">
        <f ca="1">IFERROR(__xludf.DUMMYFUNCTION("IMPORTRANGE(""https://docs.google.com/spreadsheets/d/19vJNZY_5yjcGF2XGBMNZRCAIB0Kwfpjp8YEOfu-bneM/edit?usp=sharing"",""งานกองทุน!E46"")"),1)</f>
        <v>1</v>
      </c>
      <c r="K822" s="496">
        <f t="shared" ca="1" si="334"/>
        <v>0.27472527472527475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69">
        <f ca="1">IFERROR(__xludf.DUMMYFUNCTION("IMPORTRANGE(""https://docs.google.com/spreadsheets/d/19vJNZY_5yjcGF2XGBMNZRCAIB0Kwfpjp8YEOfu-bneM/edit?usp=sharing"",""งานกองทุน!K46"")"),4433.61)</f>
        <v>4433.6099999999997</v>
      </c>
      <c r="K823" s="496">
        <f t="shared" ca="1" si="334"/>
        <v>7.3562943564439209E-2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IFERROR(__xludf.DUMMYFUNCTION("IMPORTRANGE(""https://docs.google.com/spreadsheets/d/19vJNZY_5yjcGF2XGBMNZRCAIB0Kwfpjp8YEOfu-bneM/edit?usp=sharing"",""งานกองทุน!H46"")"),375)</f>
        <v>375</v>
      </c>
      <c r="J824" s="269">
        <f ca="1">IFERROR(__xludf.DUMMYFUNCTION("IMPORTRANGE(""https://docs.google.com/spreadsheets/d/19vJNZY_5yjcGF2XGBMNZRCAIB0Kwfpjp8YEOfu-bneM/edit?usp=sharing"",""งานกองทุน!J46"")"),1)</f>
        <v>1</v>
      </c>
      <c r="K824" s="496">
        <f t="shared" ca="1" si="334"/>
        <v>0.26666666666666666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IFERROR(__xludf.DUMMYFUNCTION("IMPORTRANGE(""https://docs.google.com/spreadsheets/d/19vJNZY_5yjcGF2XGBMNZRCAIB0Kwfpjp8YEOfu-bneM/edit?usp=sharing"",""งานกองทุน!N46"")"),0)</f>
        <v>0</v>
      </c>
      <c r="J825" s="269">
        <f ca="1">IFERROR(__xludf.DUMMYFUNCTION("IMPORTRANGE(""https://docs.google.com/spreadsheets/d/19vJNZY_5yjcGF2XGBMNZRCAIB0Kwfpjp8YEOfu-bneM/edit?usp=sharing"",""งานกองทุน!P46"")"),203817.84)</f>
        <v>203817.84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IFERROR(__xludf.DUMMYFUNCTION("IMPORTRANGE(""https://docs.google.com/spreadsheets/d/19vJNZY_5yjcGF2XGBMNZRCAIB0Kwfpjp8YEOfu-bneM/edit?usp=sharing"",""งานกองทุน!M46"")"),0)</f>
        <v>0</v>
      </c>
      <c r="J826" s="269">
        <f ca="1">IFERROR(__xludf.DUMMYFUNCTION("IMPORTRANGE(""https://docs.google.com/spreadsheets/d/19vJNZY_5yjcGF2XGBMNZRCAIB0Kwfpjp8YEOfu-bneM/edit?usp=sharing"",""งานกองทุน!O46"")"),3)</f>
        <v>3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IFERROR(__xludf.DUMMYFUNCTION("IMPORTRANGE(""https://docs.google.com/spreadsheets/d/19vJNZY_5yjcGF2XGBMNZRCAIB0Kwfpjp8YEOfu-bneM/edit?usp=sharing"",""งานกองทุน!S46"")"),11100000)</f>
        <v>11100000</v>
      </c>
      <c r="J827" s="269">
        <f ca="1">IFERROR(__xludf.DUMMYFUNCTION("IMPORTRANGE(""https://docs.google.com/spreadsheets/d/19vJNZY_5yjcGF2XGBMNZRCAIB0Kwfpjp8YEOfu-bneM/edit?usp=sharing"",""งานกองทุน!U46"")"),0)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IFERROR(__xludf.DUMMYFUNCTION("IMPORTRANGE(""https://docs.google.com/spreadsheets/d/19vJNZY_5yjcGF2XGBMNZRCAIB0Kwfpjp8YEOfu-bneM/edit?usp=sharing"",""งานกองทุน!R46"")"),444)</f>
        <v>444</v>
      </c>
      <c r="J828" s="499">
        <f ca="1">IFERROR(__xludf.DUMMYFUNCTION("IMPORTRANGE(""https://docs.google.com/spreadsheets/d/19vJNZY_5yjcGF2XGBMNZRCAIB0Kwfpjp8YEOfu-bneM/edit?usp=sharing"",""งานกองทุน!T46"")"),32)</f>
        <v>32</v>
      </c>
      <c r="K828" s="500">
        <f t="shared" ca="1" si="334"/>
        <v>7.2072072072072073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D98CF-56F6-4D95-9543-5D8C48345DB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352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6990340</v>
      </c>
      <c r="M8" s="22">
        <f t="shared" ca="1" si="0"/>
        <v>2704511</v>
      </c>
      <c r="N8" s="22">
        <f t="shared" ca="1" si="0"/>
        <v>809431.84000000008</v>
      </c>
      <c r="O8" s="22">
        <f t="shared" ref="O8:O16" ca="1" si="1">IF(L8&gt;0,N8*100/L8,0)</f>
        <v>11.579291422162587</v>
      </c>
      <c r="P8" s="22">
        <f t="shared" ref="P8:P16" ca="1" si="2">IF(M8&gt;0,N8*100/M8,0)</f>
        <v>29.928953515071676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6990340</v>
      </c>
      <c r="M10" s="30">
        <f t="shared" ca="1" si="3"/>
        <v>2704511</v>
      </c>
      <c r="N10" s="30">
        <f t="shared" ca="1" si="3"/>
        <v>809431.84000000008</v>
      </c>
      <c r="O10" s="30">
        <f t="shared" ca="1" si="1"/>
        <v>11.579291422162587</v>
      </c>
      <c r="P10" s="30">
        <f t="shared" ca="1" si="2"/>
        <v>29.928953515071676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6607240</v>
      </c>
      <c r="M11" s="496">
        <f t="shared" ca="1" si="4"/>
        <v>2321411</v>
      </c>
      <c r="N11" s="496">
        <f t="shared" ca="1" si="4"/>
        <v>735331.84000000008</v>
      </c>
      <c r="O11" s="496">
        <f t="shared" ca="1" si="1"/>
        <v>11.129183138496561</v>
      </c>
      <c r="P11" s="496">
        <f t="shared" ca="1" si="2"/>
        <v>31.676072871197739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6607240</v>
      </c>
      <c r="M13" s="93">
        <f t="shared" ca="1" si="5"/>
        <v>2321411</v>
      </c>
      <c r="N13" s="93">
        <f t="shared" ca="1" si="5"/>
        <v>735331.84000000008</v>
      </c>
      <c r="O13" s="93">
        <f t="shared" ca="1" si="1"/>
        <v>11.129183138496561</v>
      </c>
      <c r="P13" s="93">
        <f t="shared" ca="1" si="2"/>
        <v>31.676072871197739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383100</v>
      </c>
      <c r="M14" s="496">
        <f t="shared" ca="1" si="6"/>
        <v>383100</v>
      </c>
      <c r="N14" s="496">
        <f t="shared" ca="1" si="6"/>
        <v>74100</v>
      </c>
      <c r="O14" s="496">
        <f t="shared" ca="1" si="1"/>
        <v>19.342208300704776</v>
      </c>
      <c r="P14" s="496">
        <f t="shared" ca="1" si="2"/>
        <v>19.342208300704776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74100</v>
      </c>
      <c r="O16" s="52">
        <f t="shared" ca="1" si="1"/>
        <v>19.342208300704776</v>
      </c>
      <c r="P16" s="52">
        <f t="shared" ca="1" si="2"/>
        <v>19.342208300704776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2704511</v>
      </c>
      <c r="N18" s="22">
        <f t="shared" ca="1" si="8"/>
        <v>809431.84000000008</v>
      </c>
      <c r="O18" s="22">
        <f t="shared" ref="O18:O26" ca="1" si="9">IF(L18&gt;0,N18*100/L18,0)</f>
        <v>16.141258976651734</v>
      </c>
      <c r="P18" s="22">
        <f t="shared" ref="P18:P26" ca="1" si="10">IF(M18&gt;0,N18*100/M18,0)</f>
        <v>29.928953515071676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2704511</v>
      </c>
      <c r="N20" s="30">
        <f t="shared" ca="1" si="11"/>
        <v>809431.84000000008</v>
      </c>
      <c r="O20" s="30">
        <f t="shared" ca="1" si="9"/>
        <v>16.141258976651734</v>
      </c>
      <c r="P20" s="30">
        <f t="shared" ca="1" si="10"/>
        <v>29.928953515071676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4631576</v>
      </c>
      <c r="M21" s="496">
        <f t="shared" ca="1" si="12"/>
        <v>2321411</v>
      </c>
      <c r="N21" s="496">
        <f t="shared" ca="1" si="12"/>
        <v>735331.84000000008</v>
      </c>
      <c r="O21" s="496">
        <f t="shared" ca="1" si="9"/>
        <v>15.876493012313738</v>
      </c>
      <c r="P21" s="496">
        <f t="shared" ca="1" si="10"/>
        <v>31.676072871197739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4631576</v>
      </c>
      <c r="M23" s="93">
        <f t="shared" ca="1" si="13"/>
        <v>2321411</v>
      </c>
      <c r="N23" s="93">
        <f t="shared" ca="1" si="13"/>
        <v>735331.84000000008</v>
      </c>
      <c r="O23" s="93">
        <f t="shared" ca="1" si="9"/>
        <v>15.876493012313738</v>
      </c>
      <c r="P23" s="93">
        <f t="shared" ca="1" si="10"/>
        <v>31.676072871197739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383100</v>
      </c>
      <c r="M24" s="496">
        <f t="shared" ca="1" si="14"/>
        <v>383100</v>
      </c>
      <c r="N24" s="496">
        <f t="shared" ca="1" si="14"/>
        <v>74100</v>
      </c>
      <c r="O24" s="496">
        <f t="shared" ca="1" si="9"/>
        <v>19.342208300704776</v>
      </c>
      <c r="P24" s="496">
        <f t="shared" ca="1" si="10"/>
        <v>19.342208300704776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74100</v>
      </c>
      <c r="O26" s="52">
        <f t="shared" ca="1" si="9"/>
        <v>19.342208300704776</v>
      </c>
      <c r="P26" s="52">
        <f t="shared" ca="1" si="10"/>
        <v>19.342208300704776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1975664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1975664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1975664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1975664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5014676</v>
      </c>
      <c r="M37" s="59">
        <f t="shared" ca="1" si="24"/>
        <v>2704511</v>
      </c>
      <c r="N37" s="59">
        <f t="shared" ca="1" si="24"/>
        <v>809431.84000000008</v>
      </c>
      <c r="O37" s="59">
        <f t="shared" ca="1" si="17"/>
        <v>16.141258976651734</v>
      </c>
      <c r="P37" s="59">
        <f t="shared" ca="1" si="18"/>
        <v>29.928953515071676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352341</v>
      </c>
      <c r="N41" s="85">
        <f t="shared" ca="1" si="25"/>
        <v>146360</v>
      </c>
      <c r="O41" s="85">
        <f t="shared" ref="O41:O49" ca="1" si="26">IF(L41&gt;0,N41*100/L41,0)</f>
        <v>20.928273903574937</v>
      </c>
      <c r="P41" s="85">
        <f t="shared" ref="P41:P49" ca="1" si="27">IF(M41&gt;0,N41*100/M41,0)</f>
        <v>41.53930425354983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352341</v>
      </c>
      <c r="N43" s="92">
        <f t="shared" ca="1" si="28"/>
        <v>146360</v>
      </c>
      <c r="O43" s="92">
        <f t="shared" ca="1" si="26"/>
        <v>20.928273903574937</v>
      </c>
      <c r="P43" s="92">
        <f t="shared" ca="1" si="27"/>
        <v>41.53930425354983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699341</v>
      </c>
      <c r="M44" s="496">
        <f t="shared" ca="1" si="29"/>
        <v>352341</v>
      </c>
      <c r="N44" s="496">
        <f t="shared" ca="1" si="29"/>
        <v>146360</v>
      </c>
      <c r="O44" s="496">
        <f t="shared" ca="1" si="26"/>
        <v>20.928273903574937</v>
      </c>
      <c r="P44" s="496">
        <f t="shared" ca="1" si="27"/>
        <v>41.53930425354983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IFERROR(__xludf.DUMMYFUNCTION("IMPORTRANGE(""https://docs.google.com/spreadsheets/d/1MeEWN-I1oV_STSDYn1IFDPWt_1FKiwhDph83XaGc0o0/edit?usp=sharing"",""งบพรบ!R47"")"),352341)</f>
        <v>352341</v>
      </c>
      <c r="N46" s="93">
        <f ca="1">IFERROR(__xludf.DUMMYFUNCTION("IMPORTRANGE(""https://docs.google.com/spreadsheets/d/1MeEWN-I1oV_STSDYn1IFDPWt_1FKiwhDph83XaGc0o0/edit?usp=sharing"",""งบพรบ!T47"")"),146360)</f>
        <v>146360</v>
      </c>
      <c r="O46" s="93">
        <f t="shared" ca="1" si="26"/>
        <v>20.928273903574937</v>
      </c>
      <c r="P46" s="93">
        <f t="shared" ca="1" si="27"/>
        <v>41.53930425354983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421200</v>
      </c>
      <c r="N53" s="116">
        <f t="shared" ca="1" si="31"/>
        <v>225092.79</v>
      </c>
      <c r="O53" s="116">
        <f t="shared" ref="O53:O61" ca="1" si="32">IF(L53&gt;0,N53*100/L53,0)</f>
        <v>26.720416666666665</v>
      </c>
      <c r="P53" s="116">
        <f t="shared" ref="P53:P61" ca="1" si="33">IF(M53&gt;0,N53*100/M53,0)</f>
        <v>53.44083333333333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421200</v>
      </c>
      <c r="N55" s="123">
        <f t="shared" ca="1" si="34"/>
        <v>225092.79</v>
      </c>
      <c r="O55" s="123">
        <f t="shared" ca="1" si="32"/>
        <v>26.720416666666665</v>
      </c>
      <c r="P55" s="123">
        <f t="shared" ca="1" si="33"/>
        <v>53.44083333333333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842400</v>
      </c>
      <c r="M56" s="496">
        <f t="shared" ca="1" si="35"/>
        <v>421200</v>
      </c>
      <c r="N56" s="496">
        <f t="shared" ca="1" si="35"/>
        <v>225092.79</v>
      </c>
      <c r="O56" s="496">
        <f t="shared" ca="1" si="32"/>
        <v>26.720416666666665</v>
      </c>
      <c r="P56" s="496">
        <f t="shared" ca="1" si="33"/>
        <v>53.44083333333333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IFERROR(__xludf.DUMMYFUNCTION("IMPORTRANGE(""https://docs.google.com/spreadsheets/d/1MeEWN-I1oV_STSDYn1IFDPWt_1FKiwhDph83XaGc0o0/edit?usp=sharing"",""งบพรบ!AB47"")"),421200)</f>
        <v>421200</v>
      </c>
      <c r="N58" s="93">
        <f ca="1">IFERROR(__xludf.DUMMYFUNCTION("IMPORTRANGE(""https://docs.google.com/spreadsheets/d/1MeEWN-I1oV_STSDYn1IFDPWt_1FKiwhDph83XaGc0o0/edit?usp=sharing"",""งบพรบ!AD47"")"),225092.79)</f>
        <v>225092.79</v>
      </c>
      <c r="O58" s="93">
        <f t="shared" ca="1" si="32"/>
        <v>26.720416666666665</v>
      </c>
      <c r="P58" s="93">
        <f t="shared" ca="1" si="33"/>
        <v>53.44083333333333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2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114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1380900</v>
      </c>
      <c r="M66" s="155">
        <f t="shared" ca="1" si="39"/>
        <v>664750</v>
      </c>
      <c r="N66" s="155">
        <f t="shared" ca="1" si="39"/>
        <v>105162.05</v>
      </c>
      <c r="O66" s="155">
        <f t="shared" ref="O66:O74" ca="1" si="40">IF(L66&gt;0,N66*100/L66,0)</f>
        <v>7.6154717937576946</v>
      </c>
      <c r="P66" s="155">
        <f t="shared" ref="P66:P74" ca="1" si="41">IF(M66&gt;0,N66*100/M66,0)</f>
        <v>15.819789394509215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1380900</v>
      </c>
      <c r="M68" s="93">
        <f t="shared" ca="1" si="42"/>
        <v>664750</v>
      </c>
      <c r="N68" s="93">
        <f t="shared" ca="1" si="42"/>
        <v>105162.05</v>
      </c>
      <c r="O68" s="93">
        <f t="shared" ca="1" si="40"/>
        <v>7.6154717937576946</v>
      </c>
      <c r="P68" s="93">
        <f t="shared" ca="1" si="41"/>
        <v>15.819789394509215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1380900</v>
      </c>
      <c r="M69" s="496">
        <f t="shared" ca="1" si="43"/>
        <v>664750</v>
      </c>
      <c r="N69" s="496">
        <f t="shared" ca="1" si="43"/>
        <v>105162.05</v>
      </c>
      <c r="O69" s="496">
        <f t="shared" ca="1" si="40"/>
        <v>7.6154717937576946</v>
      </c>
      <c r="P69" s="496">
        <f t="shared" ca="1" si="41"/>
        <v>15.819789394509215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IFERROR(__xludf.DUMMYFUNCTION("IMPORTRANGE(""https://docs.google.com/spreadsheets/d/1MeEWN-I1oV_STSDYn1IFDPWt_1FKiwhDph83XaGc0o0/edit?usp=sharing"",""งบพรบ!AL47"")"),664750)</f>
        <v>664750</v>
      </c>
      <c r="N71" s="93">
        <f ca="1">IFERROR(__xludf.DUMMYFUNCTION("IMPORTRANGE(""https://docs.google.com/spreadsheets/d/1MeEWN-I1oV_STSDYn1IFDPWt_1FKiwhDph83XaGc0o0/edit?usp=sharing"",""งบพรบ!AN47"")"),105162.05)</f>
        <v>105162.05</v>
      </c>
      <c r="O71" s="93">
        <f t="shared" ca="1" si="40"/>
        <v>7.6154717937576946</v>
      </c>
      <c r="P71" s="93">
        <f t="shared" ca="1" si="41"/>
        <v>15.819789394509215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2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114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140780</v>
      </c>
      <c r="M88" s="155">
        <f t="shared" ca="1" si="49"/>
        <v>71430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140780</v>
      </c>
      <c r="M90" s="93">
        <f t="shared" ca="1" si="52"/>
        <v>71430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140780</v>
      </c>
      <c r="M91" s="496">
        <f t="shared" ca="1" si="53"/>
        <v>71430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IFERROR(__xludf.DUMMYFUNCTION("IMPORTRANGE(""https://docs.google.com/spreadsheets/d/1MeEWN-I1oV_STSDYn1IFDPWt_1FKiwhDph83XaGc0o0/edit?usp=sharing"",""งบพรบ!AV47"")"),71430)</f>
        <v>71430</v>
      </c>
      <c r="N93" s="93">
        <f ca="1">IFERROR(__xludf.DUMMYFUNCTION("IMPORTRANGE(""https://docs.google.com/spreadsheets/d/1MeEWN-I1oV_STSDYn1IFDPWt_1FKiwhDph83XaGc0o0/edit?usp=sharing"",""งบพรบ!AX47"")"),0)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IFERROR(__xludf.DUMMYFUNCTION("IMPORTRANGE(""https://docs.google.com/spreadsheets/d/1QqKyyYR6Q21VydFLVH3TRQUabQu_ym0Zz7PgGX0-kHA/edit?usp=sharing"",""แผน!K47"")"),60)</f>
        <v>60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IFERROR(__xludf.DUMMYFUNCTION("IMPORTRANGE(""https://docs.google.com/spreadsheets/d/1QqKyyYR6Q21VydFLVH3TRQUabQu_ym0Zz7PgGX0-kHA/edit?usp=sharing"",""แผน!L47"")"),20)</f>
        <v>20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IFERROR(__xludf.DUMMYFUNCTION("IMPORTRANGE(""https://docs.google.com/spreadsheets/d/1QqKyyYR6Q21VydFLVH3TRQUabQu_ym0Zz7PgGX0-kHA/edit?usp=sharing"",""แผน!M47"")"),3)</f>
        <v>3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IFERROR(__xludf.DUMMYFUNCTION("IMPORTRANGE(""https://docs.google.com/spreadsheets/d/1QqKyyYR6Q21VydFLVH3TRQUabQu_ym0Zz7PgGX0-kHA/edit?usp=sharing"",""แผน!N47"")"),60)</f>
        <v>60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IFERROR(__xludf.DUMMYFUNCTION("IMPORTRANGE(""https://docs.google.com/spreadsheets/d/1QqKyyYR6Q21VydFLVH3TRQUabQu_ym0Zz7PgGX0-kHA/edit?usp=sharing"",""แผน!O47"")"),20)</f>
        <v>20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IFERROR(__xludf.DUMMYFUNCTION("IMPORTRANGE(""https://docs.google.com/spreadsheets/d/1QqKyyYR6Q21VydFLVH3TRQUabQu_ym0Zz7PgGX0-kHA/edit?usp=sharing"",""แผน!O47"")"),20)</f>
        <v>20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IFERROR(__xludf.DUMMYFUNCTION("IMPORTRANGE(""https://docs.google.com/spreadsheets/d/1QqKyyYR6Q21VydFLVH3TRQUabQu_ym0Zz7PgGX0-kHA/edit?usp=sharing"",""แผน!P47"")"),2)</f>
        <v>2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IFERROR(__xludf.DUMMYFUNCTION("IMPORTRANGE(""https://docs.google.com/spreadsheets/d/1QqKyyYR6Q21VydFLVH3TRQUabQu_ym0Zz7PgGX0-kHA/edit?usp=sharing"",""แผน!P47"")"),2)</f>
        <v>2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IFERROR(__xludf.DUMMYFUNCTION("IMPORTRANGE(""https://docs.google.com/spreadsheets/d/1QqKyyYR6Q21VydFLVH3TRQUabQu_ym0Zz7PgGX0-kHA/edit?usp=sharing"",""แผน!Q47"")"),1)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IFERROR(__xludf.DUMMYFUNCTION("IMPORTRANGE(""https://docs.google.com/spreadsheets/d/1QqKyyYR6Q21VydFLVH3TRQUabQu_ym0Zz7PgGX0-kHA/edit?usp=sharing"",""แผน!Q47"")"),1)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454965</v>
      </c>
      <c r="M132" s="155">
        <f t="shared" ca="1" si="69"/>
        <v>400800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454965</v>
      </c>
      <c r="M134" s="93">
        <f t="shared" ca="1" si="72"/>
        <v>400800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145965</v>
      </c>
      <c r="M135" s="496">
        <f t="shared" ca="1" si="73"/>
        <v>91800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IFERROR(__xludf.DUMMYFUNCTION("IMPORTRANGE(""https://docs.google.com/spreadsheets/d/1MeEWN-I1oV_STSDYn1IFDPWt_1FKiwhDph83XaGc0o0/edit?usp=sharing"",""งบพรบ!BP47"")"),91800)</f>
        <v>91800</v>
      </c>
      <c r="N137" s="93">
        <f ca="1">IFERROR(__xludf.DUMMYFUNCTION("IMPORTRANGE(""https://docs.google.com/spreadsheets/d/1MeEWN-I1oV_STSDYn1IFDPWt_1FKiwhDph83XaGc0o0/edit?usp=sharing"",""งบพรบ!BR47"")"),0)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309000</v>
      </c>
      <c r="M138" s="496">
        <f t="shared" ca="1" si="74"/>
        <v>309000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30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IFERROR(__xludf.DUMMYFUNCTION("IMPORTRANGE(""https://docs.google.com/spreadsheets/d/1QqKyyYR6Q21VydFLVH3TRQUabQu_ym0Zz7PgGX0-kHA/edit?usp=sharing"",""แผน!U47"")"),15)</f>
        <v>15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IFERROR(__xludf.DUMMYFUNCTION("IMPORTRANGE(""https://docs.google.com/spreadsheets/d/1QqKyyYR6Q21VydFLVH3TRQUabQu_ym0Zz7PgGX0-kHA/edit?usp=sharing"",""แผน!V47"")"),30)</f>
        <v>30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IFERROR(__xludf.DUMMYFUNCTION("IMPORTRANGE(""https://docs.google.com/spreadsheets/d/1QqKyyYR6Q21VydFLVH3TRQUabQu_ym0Zz7PgGX0-kHA/edit?usp=sharing"",""แผน!W47"")"),3)</f>
        <v>3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IFERROR(__xludf.DUMMYFUNCTION("IMPORTRANGE(""https://docs.google.com/spreadsheets/d/1QqKyyYR6Q21VydFLVH3TRQUabQu_ym0Zz7PgGX0-kHA/edit?usp=sharing"",""แผน!X47"")"),0)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 hidden="1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0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 hidden="1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0</v>
      </c>
      <c r="M168" s="496">
        <f t="shared" ca="1" si="88"/>
        <v>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IFERROR(__xludf.DUMMYFUNCTION("IMPORTRANGE(""https://docs.google.com/spreadsheets/d/1MeEWN-I1oV_STSDYn1IFDPWt_1FKiwhDph83XaGc0o0/edit?usp=sharing"",""งบพรบ!CJ47"")"),0)</f>
        <v>0</v>
      </c>
      <c r="N170" s="93">
        <f ca="1">IFERROR(__xludf.DUMMYFUNCTION("IMPORTRANGE(""https://docs.google.com/spreadsheets/d/1MeEWN-I1oV_STSDYn1IFDPWt_1FKiwhDph83XaGc0o0/edit?usp=sharing"",""งบพรบ!CL47"")"),0)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 hidden="1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IFERROR(__xludf.DUMMYFUNCTION("IMPORTRANGE(""https://docs.google.com/spreadsheets/d/1QqKyyYR6Q21VydFLVH3TRQUabQu_ym0Zz7PgGX0-kHA/edit?usp=sharing"",""แผน!Y47"")"),0)</f>
        <v>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1">L182+L183</f>
        <v>77500</v>
      </c>
      <c r="M181" s="155">
        <f t="shared" ca="1" si="91"/>
        <v>39000</v>
      </c>
      <c r="N181" s="155">
        <f t="shared" ca="1" si="91"/>
        <v>0</v>
      </c>
      <c r="O181" s="155">
        <f t="shared" ref="O181:O189" ca="1" si="92">IF(L181&gt;0,N181*100/L181,0)</f>
        <v>0</v>
      </c>
      <c r="P181" s="155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77500</v>
      </c>
      <c r="M183" s="93">
        <f t="shared" ca="1" si="94"/>
        <v>39000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77500</v>
      </c>
      <c r="M184" s="496">
        <f t="shared" ca="1" si="95"/>
        <v>39000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IFERROR(__xludf.DUMMYFUNCTION("IMPORTRANGE(""https://docs.google.com/spreadsheets/d/1MeEWN-I1oV_STSDYn1IFDPWt_1FKiwhDph83XaGc0o0/edit?usp=sharing"",""งบพรบ!CT47"")"),39000)</f>
        <v>39000</v>
      </c>
      <c r="N186" s="93">
        <f ca="1">IFERROR(__xludf.DUMMYFUNCTION("IMPORTRANGE(""https://docs.google.com/spreadsheets/d/1MeEWN-I1oV_STSDYn1IFDPWt_1FKiwhDph83XaGc0o0/edit?usp=sharing"",""งบพรบ!CV47"")"),0)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IFERROR(__xludf.DUMMYFUNCTION("IMPORTRANGE(""https://docs.google.com/spreadsheets/d/1QqKyyYR6Q21VydFLVH3TRQUabQu_ym0Zz7PgGX0-kHA/edit?usp=sharing"",""แผน!AC47"")"),4)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44000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IFERROR(__xludf.DUMMYFUNCTION("IMPORTRANGE(""https://docs.google.com/spreadsheets/d/1QqKyyYR6Q21VydFLVH3TRQUabQu_ym0Zz7PgGX0-kHA/edit?usp=sharing"",""แผน!AE47"")"),3000)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IFERROR(__xludf.DUMMYFUNCTION("IMPORTRANGE(""https://docs.google.com/spreadsheets/d/1QqKyyYR6Q21VydFLVH3TRQUabQu_ym0Zz7PgGX0-kHA/edit?usp=sharing"",""แผน!AF47"")"),24000)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IFERROR(__xludf.DUMMYFUNCTION("IMPORTRANGE(""https://docs.google.com/spreadsheets/d/1QqKyyYR6Q21VydFLVH3TRQUabQu_ym0Zz7PgGX0-kHA/edit?usp=sharing"",""แผน!AG47"")"),12000)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IFERROR(__xludf.DUMMYFUNCTION("IMPORTRANGE(""https://docs.google.com/spreadsheets/d/1QqKyyYR6Q21VydFLVH3TRQUabQu_ym0Zz7PgGX0-kHA/edit?usp=sharing"",""แผน!AH47"")"),5000)</f>
        <v>5000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IFERROR(__xludf.DUMMYFUNCTION("IMPORTRANGE(""https://docs.google.com/spreadsheets/d/1QqKyyYR6Q21VydFLVH3TRQUabQu_ym0Zz7PgGX0-kHA/edit?usp=sharing"",""แผน!AI47"")"),3)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1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1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IFERROR(__xludf.DUMMYFUNCTION("IMPORTRANGE(""https://docs.google.com/spreadsheets/d/1QqKyyYR6Q21VydFLVH3TRQUabQu_ym0Zz7PgGX0-kHA/edit?usp=sharing"",""แผน!AK47"")"),1000)</f>
        <v>1000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IFERROR(__xludf.DUMMYFUNCTION("IMPORTRANGE(""https://docs.google.com/spreadsheets/d/1QqKyyYR6Q21VydFLVH3TRQUabQu_ym0Zz7PgGX0-kHA/edit?usp=sharing"",""แผน!AL47"")"),5000)</f>
        <v>5000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IFERROR(__xludf.DUMMYFUNCTION("IMPORTRANGE(""https://docs.google.com/spreadsheets/d/1QqKyyYR6Q21VydFLVH3TRQUabQu_ym0Zz7PgGX0-kHA/edit?usp=sharing"",""แผน!AM47"")"),8000)</f>
        <v>8000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IFERROR(__xludf.DUMMYFUNCTION("IMPORTRANGE(""https://docs.google.com/spreadsheets/d/1QqKyyYR6Q21VydFLVH3TRQUabQu_ym0Zz7PgGX0-kHA/edit?usp=sharing"",""แผน!AN47"")"),1)</f>
        <v>1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IFERROR(__xludf.DUMMYFUNCTION("IMPORTRANGE(""https://docs.google.com/spreadsheets/d/1QqKyyYR6Q21VydFLVH3TRQUabQu_ym0Zz7PgGX0-kHA/edit?usp=sharing"",""แผน!AN47"")"),1)</f>
        <v>1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30000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IFERROR(__xludf.DUMMYFUNCTION("IMPORTRANGE(""https://docs.google.com/spreadsheets/d/1QqKyyYR6Q21VydFLVH3TRQUabQu_ym0Zz7PgGX0-kHA/edit?usp=sharing"",""แผน!AP47"")"),5000)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IFERROR(__xludf.DUMMYFUNCTION("IMPORTRANGE(""https://docs.google.com/spreadsheets/d/1QqKyyYR6Q21VydFLVH3TRQUabQu_ym0Zz7PgGX0-kHA/edit?usp=sharing"",""แผน!AQ47"")"),8500)</f>
        <v>8500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IFERROR(__xludf.DUMMYFUNCTION("IMPORTRANGE(""https://docs.google.com/spreadsheets/d/1QqKyyYR6Q21VydFLVH3TRQUabQu_ym0Zz7PgGX0-kHA/edit?usp=sharing"",""แผน!AR47"")"),0)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IFERROR(__xludf.DUMMYFUNCTION("IMPORTRANGE(""https://docs.google.com/spreadsheets/d/1QqKyyYR6Q21VydFLVH3TRQUabQu_ym0Zz7PgGX0-kHA/edit?usp=sharing"",""แผน!AT47"")"),30000)</f>
        <v>30000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IFERROR(__xludf.DUMMYFUNCTION("IMPORTRANGE(""https://docs.google.com/spreadsheets/d/1QqKyyYR6Q21VydFLVH3TRQUabQu_ym0Zz7PgGX0-kHA/edit?usp=sharing"",""แผน!AT47"")"),30000)</f>
        <v>30000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IFERROR(__xludf.DUMMYFUNCTION("IMPORTRANGE(""https://docs.google.com/spreadsheets/d/1QqKyyYR6Q21VydFLVH3TRQUabQu_ym0Zz7PgGX0-kHA/edit?usp=sharing"",""แผน!AS47"")"),0)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IFERROR(__xludf.DUMMYFUNCTION("IMPORTRANGE(""https://docs.google.com/spreadsheets/d/1QqKyyYR6Q21VydFLVH3TRQUabQu_ym0Zz7PgGX0-kHA/edit?usp=sharing"",""แผน!AV47"")"),0)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IFERROR(__xludf.DUMMYFUNCTION("IMPORTRANGE(""https://docs.google.com/spreadsheets/d/1QqKyyYR6Q21VydFLVH3TRQUabQu_ym0Zz7PgGX0-kHA/edit?usp=sharing"",""แผน!AW47"")"),0)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IFERROR(__xludf.DUMMYFUNCTION("IMPORTRANGE(""https://docs.google.com/spreadsheets/d/1QqKyyYR6Q21VydFLVH3TRQUabQu_ym0Zz7PgGX0-kHA/edit?usp=sharing"",""แผน!AX47"")"),0)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IFERROR(__xludf.DUMMYFUNCTION("IMPORTRANGE(""https://docs.google.com/spreadsheets/d/1QqKyyYR6Q21VydFLVH3TRQUabQu_ym0Zz7PgGX0-kHA/edit?usp=sharing"",""แผน!AY47"")"),0)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IFERROR(__xludf.DUMMYFUNCTION("IMPORTRANGE(""https://docs.google.com/spreadsheets/d/1QqKyyYR6Q21VydFLVH3TRQUabQu_ym0Zz7PgGX0-kHA/edit?usp=sharing"",""แผน!BE47"")"),0)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IFERROR(__xludf.DUMMYFUNCTION("IMPORTRANGE(""https://docs.google.com/spreadsheets/d/1QqKyyYR6Q21VydFLVH3TRQUabQu_ym0Zz7PgGX0-kHA/edit?usp=sharing"",""แผน!AZ47"")"),0)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IFERROR(__xludf.DUMMYFUNCTION("IMPORTRANGE(""https://docs.google.com/spreadsheets/d/1QqKyyYR6Q21VydFLVH3TRQUabQu_ym0Zz7PgGX0-kHA/edit?usp=sharing"",""แผน!BA47"")"),0)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IFERROR(__xludf.DUMMYFUNCTION("IMPORTRANGE(""https://docs.google.com/spreadsheets/d/1QqKyyYR6Q21VydFLVH3TRQUabQu_ym0Zz7PgGX0-kHA/edit?usp=sharing"",""แผน!BB47"")"),0)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IFERROR(__xludf.DUMMYFUNCTION("IMPORTRANGE(""https://docs.google.com/spreadsheets/d/1QqKyyYR6Q21VydFLVH3TRQUabQu_ym0Zz7PgGX0-kHA/edit?usp=sharing"",""แผน!BC47"")"),0)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IFERROR(__xludf.DUMMYFUNCTION("IMPORTRANGE(""https://docs.google.com/spreadsheets/d/1QqKyyYR6Q21VydFLVH3TRQUabQu_ym0Zz7PgGX0-kHA/edit?usp=sharing"",""แผน!BF47"")"),0)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10480</v>
      </c>
      <c r="O261" s="155">
        <f t="shared" ref="O261:O269" ca="1" si="116">IF(L261&gt;0,N261*100/L261,0)</f>
        <v>38.959107806691449</v>
      </c>
      <c r="P261" s="155">
        <f t="shared" ref="P261:P269" ca="1" si="117">IF(M261&gt;0,N261*100/M261,0)</f>
        <v>43.84937238493724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10480</v>
      </c>
      <c r="O263" s="93">
        <f t="shared" ca="1" si="116"/>
        <v>38.959107806691449</v>
      </c>
      <c r="P263" s="93">
        <f t="shared" ca="1" si="117"/>
        <v>43.84937238493724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23900</v>
      </c>
      <c r="N264" s="496">
        <f t="shared" ca="1" si="119"/>
        <v>10480</v>
      </c>
      <c r="O264" s="496">
        <f t="shared" ca="1" si="116"/>
        <v>38.959107806691449</v>
      </c>
      <c r="P264" s="496">
        <f t="shared" ca="1" si="117"/>
        <v>43.84937238493724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IFERROR(__xludf.DUMMYFUNCTION("IMPORTRANGE(""https://docs.google.com/spreadsheets/d/1MeEWN-I1oV_STSDYn1IFDPWt_1FKiwhDph83XaGc0o0/edit?usp=sharing"",""งบพรบ!DD47"")"),23900)</f>
        <v>23900</v>
      </c>
      <c r="N266" s="93">
        <f ca="1">IFERROR(__xludf.DUMMYFUNCTION("IMPORTRANGE(""https://docs.google.com/spreadsheets/d/1MeEWN-I1oV_STSDYn1IFDPWt_1FKiwhDph83XaGc0o0/edit?usp=sharing"",""งบพรบ!DF47"")"),10480)</f>
        <v>10480</v>
      </c>
      <c r="O266" s="93">
        <f t="shared" ca="1" si="116"/>
        <v>38.959107806691449</v>
      </c>
      <c r="P266" s="93">
        <f t="shared" ca="1" si="117"/>
        <v>43.84937238493724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IFERROR(__xludf.DUMMYFUNCTION("IMPORTRANGE(""https://docs.google.com/spreadsheets/d/1QqKyyYR6Q21VydFLVH3TRQUabQu_ym0Zz7PgGX0-kHA/edit?usp=sharing"",""แผน!EA47"")"),22)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5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50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22630</v>
      </c>
      <c r="M277" s="155">
        <f t="shared" ca="1" si="124"/>
        <v>9410</v>
      </c>
      <c r="N277" s="155">
        <f t="shared" ca="1" si="124"/>
        <v>4065</v>
      </c>
      <c r="O277" s="155">
        <f t="shared" ref="O277:O285" ca="1" si="125">IF(L277&gt;0,N277*100/L277,0)</f>
        <v>17.962881131241716</v>
      </c>
      <c r="P277" s="155">
        <f t="shared" ref="P277:P285" ca="1" si="126">IF(M277&gt;0,N277*100/M277,0)</f>
        <v>43.198724760892667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22630</v>
      </c>
      <c r="M279" s="93">
        <f t="shared" ca="1" si="127"/>
        <v>9410</v>
      </c>
      <c r="N279" s="93">
        <f t="shared" ca="1" si="127"/>
        <v>4065</v>
      </c>
      <c r="O279" s="93">
        <f t="shared" ca="1" si="125"/>
        <v>17.962881131241716</v>
      </c>
      <c r="P279" s="93">
        <f t="shared" ca="1" si="126"/>
        <v>43.198724760892667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22630</v>
      </c>
      <c r="M280" s="496">
        <f t="shared" ca="1" si="128"/>
        <v>9410</v>
      </c>
      <c r="N280" s="496">
        <f t="shared" ca="1" si="128"/>
        <v>4065</v>
      </c>
      <c r="O280" s="496">
        <f t="shared" ca="1" si="125"/>
        <v>17.962881131241716</v>
      </c>
      <c r="P280" s="496">
        <f t="shared" ca="1" si="126"/>
        <v>43.198724760892667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IFERROR(__xludf.DUMMYFUNCTION("IMPORTRANGE(""https://docs.google.com/spreadsheets/d/1MeEWN-I1oV_STSDYn1IFDPWt_1FKiwhDph83XaGc0o0/edit?usp=sharing"",""งบพรบ!DN47"")"),9410)</f>
        <v>9410</v>
      </c>
      <c r="N282" s="93">
        <f ca="1">IFERROR(__xludf.DUMMYFUNCTION("IMPORTRANGE(""https://docs.google.com/spreadsheets/d/1MeEWN-I1oV_STSDYn1IFDPWt_1FKiwhDph83XaGc0o0/edit?usp=sharing"",""งบพรบ!DP47"")"),4065)</f>
        <v>4065</v>
      </c>
      <c r="O282" s="93">
        <f t="shared" ca="1" si="125"/>
        <v>17.962881131241716</v>
      </c>
      <c r="P282" s="93">
        <f t="shared" ca="1" si="126"/>
        <v>43.198724760892667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IFERROR(__xludf.DUMMYFUNCTION("IMPORTRANGE(""https://docs.google.com/spreadsheets/d/1QqKyyYR6Q21VydFLVH3TRQUabQu_ym0Zz7PgGX0-kHA/edit?usp=sharing"",""แผน!EC47"")"),50)</f>
        <v>50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IFERROR(__xludf.DUMMYFUNCTION("IMPORTRANGE(""https://docs.google.com/spreadsheets/d/1QqKyyYR6Q21VydFLVH3TRQUabQu_ym0Zz7PgGX0-kHA/edit?usp=sharing"",""แผน!EB47"")"),5)</f>
        <v>5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IFERROR(__xludf.DUMMYFUNCTION("IMPORTRANGE(""https://docs.google.com/spreadsheets/d/1QqKyyYR6Q21VydFLVH3TRQUabQu_ym0Zz7PgGX0-kHA/edit?usp=sharing"",""แผน!EB47"")"),5)</f>
        <v>5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0</v>
      </c>
      <c r="M301" s="496">
        <f t="shared" ca="1" si="138"/>
        <v>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IFERROR(__xludf.DUMMYFUNCTION("IMPORTRANGE(""https://docs.google.com/spreadsheets/d/1QqKyyYR6Q21VydFLVH3TRQUabQu_ym0Zz7PgGX0-kHA/edit?usp=sharing"",""แผน!ED47"")"),0)</f>
        <v>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IFERROR(__xludf.DUMMYFUNCTION("IMPORTRANGE(""https://docs.google.com/spreadsheets/d/1QqKyyYR6Q21VydFLVH3TRQUabQu_ym0Zz7PgGX0-kHA/edit?usp=sharing"",""แผน!ED47"")"),0)</f>
        <v>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IFERROR(__xludf.DUMMYFUNCTION("IMPORTRANGE(""https://docs.google.com/spreadsheets/d/1QqKyyYR6Q21VydFLVH3TRQUabQu_ym0Zz7PgGX0-kHA/edit?usp=sharing"",""แผน!ED47"")"),0)</f>
        <v>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IFERROR(__xludf.DUMMYFUNCTION("IMPORTRANGE(""https://docs.google.com/spreadsheets/d/1QqKyyYR6Q21VydFLVH3TRQUabQu_ym0Zz7PgGX0-kHA/edit?usp=sharing"",""แผน!EE47"")"),0)</f>
        <v>0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IFERROR(__xludf.DUMMYFUNCTION("IMPORTRANGE(""https://docs.google.com/spreadsheets/d/1QqKyyYR6Q21VydFLVH3TRQUabQu_ym0Zz7PgGX0-kHA/edit?usp=sharing"",""แผน!EF47"")"),0)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IFERROR(__xludf.DUMMYFUNCTION("IMPORTRANGE(""https://docs.google.com/spreadsheets/d/1QqKyyYR6Q21VydFLVH3TRQUabQu_ym0Zz7PgGX0-kHA/edit?usp=sharing"",""แผน!EG47"")"),3800)</f>
        <v>3800</v>
      </c>
      <c r="J327" s="443">
        <f ca="1">J338+J341+J342+J343</f>
        <v>1668</v>
      </c>
      <c r="K327" s="444">
        <f ca="1">IF(I327&gt;0,J327*100/I327,0)</f>
        <v>43.89473684210526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177000</v>
      </c>
      <c r="M328" s="155">
        <f t="shared" ca="1" si="148"/>
        <v>88500</v>
      </c>
      <c r="N328" s="155">
        <f t="shared" ca="1" si="148"/>
        <v>33355</v>
      </c>
      <c r="O328" s="155">
        <f t="shared" ref="O328:O336" ca="1" si="149">IF(L328&gt;0,N328*100/L328,0)</f>
        <v>18.844632768361581</v>
      </c>
      <c r="P328" s="155">
        <f t="shared" ref="P328:P336" ca="1" si="150">IF(M328&gt;0,N328*100/M328,0)</f>
        <v>37.689265536723163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177000</v>
      </c>
      <c r="M330" s="93">
        <f t="shared" ca="1" si="151"/>
        <v>88500</v>
      </c>
      <c r="N330" s="93">
        <f t="shared" ca="1" si="151"/>
        <v>33355</v>
      </c>
      <c r="O330" s="93">
        <f t="shared" ca="1" si="149"/>
        <v>18.844632768361581</v>
      </c>
      <c r="P330" s="93">
        <f t="shared" ca="1" si="150"/>
        <v>37.689265536723163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177000</v>
      </c>
      <c r="M331" s="496">
        <f t="shared" ca="1" si="152"/>
        <v>88500</v>
      </c>
      <c r="N331" s="496">
        <f t="shared" ca="1" si="152"/>
        <v>33355</v>
      </c>
      <c r="O331" s="496">
        <f t="shared" ca="1" si="149"/>
        <v>18.844632768361581</v>
      </c>
      <c r="P331" s="496">
        <f t="shared" ca="1" si="150"/>
        <v>37.689265536723163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IFERROR(__xludf.DUMMYFUNCTION("IMPORTRANGE(""https://docs.google.com/spreadsheets/d/1MeEWN-I1oV_STSDYn1IFDPWt_1FKiwhDph83XaGc0o0/edit?usp=sharing"",""งบพรบ!ER47"")"),88500)</f>
        <v>88500</v>
      </c>
      <c r="N333" s="93">
        <f ca="1">IFERROR(__xludf.DUMMYFUNCTION("IMPORTRANGE(""https://docs.google.com/spreadsheets/d/1MeEWN-I1oV_STSDYn1IFDPWt_1FKiwhDph83XaGc0o0/edit?usp=sharing"",""งบพรบ!ET47"")"),33355)</f>
        <v>33355</v>
      </c>
      <c r="O333" s="93">
        <f t="shared" ca="1" si="149"/>
        <v>18.844632768361581</v>
      </c>
      <c r="P333" s="93">
        <f t="shared" ca="1" si="150"/>
        <v>37.689265536723163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IFERROR(__xludf.DUMMYFUNCTION("IMPORTRANGE(""https://docs.google.com/spreadsheets/d/1QqKyyYR6Q21VydFLVH3TRQUabQu_ym0Zz7PgGX0-kHA/edit?usp=sharing"",""แผน!EG47"")"),3800)</f>
        <v>3800</v>
      </c>
      <c r="J338" s="269">
        <f ca="1">IFERROR(__xludf.DUMMYFUNCTION("IMPORTRANGE(""https://docs.google.com/spreadsheets/d/1kVcqe37tkHyjCSG3S0O1AXqVkqjo8mSIZil3BcpIysc/edit?usp=sharing"",""ศูนย์!D47"")"),988)</f>
        <v>988</v>
      </c>
      <c r="K338" s="496">
        <f ca="1">IF(I338&gt;0,J338*100/I338,0)</f>
        <v>26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IFERROR(__xludf.DUMMYFUNCTION("IMPORTRANGE(""https://docs.google.com/spreadsheets/d/1QqKyyYR6Q21VydFLVH3TRQUabQu_ym0Zz7PgGX0-kHA/edit?usp=sharing"",""แผน!EH47"")"),7)</f>
        <v>7</v>
      </c>
      <c r="J340" s="269">
        <f ca="1">IFERROR(__xludf.DUMMYFUNCTION("IMPORTRANGE(""https://docs.google.com/spreadsheets/d/1kVcqe37tkHyjCSG3S0O1AXqVkqjo8mSIZil3BcpIysc/edit?usp=sharing"",""ศูนย์!E47"")"),5)</f>
        <v>5</v>
      </c>
      <c r="K340" s="496">
        <f ca="1">IF(I340&gt;0,J340*100/I340,0)</f>
        <v>71.428571428571431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IFERROR(__xludf.DUMMYFUNCTION("IMPORTRANGE(""https://docs.google.com/spreadsheets/d/1kVcqe37tkHyjCSG3S0O1AXqVkqjo8mSIZil3BcpIysc/edit?usp=sharing"",""ศูนย์!F47"")"),680)</f>
        <v>680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IFERROR(__xludf.DUMMYFUNCTION("IMPORTRANGE(""https://docs.google.com/spreadsheets/d/1kVcqe37tkHyjCSG3S0O1AXqVkqjo8mSIZil3BcpIysc/edit?usp=sharing"",""ศูนย์!G47"")"),0)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IFERROR(__xludf.DUMMYFUNCTION("IMPORTRANGE(""https://docs.google.com/spreadsheets/d/1kVcqe37tkHyjCSG3S0O1AXqVkqjo8mSIZil3BcpIysc/edit?usp=sharing"",""ศูนย์!H47"")"),0)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1192260</v>
      </c>
      <c r="M345" s="155">
        <f t="shared" ca="1" si="154"/>
        <v>633180</v>
      </c>
      <c r="N345" s="155">
        <f t="shared" ca="1" si="154"/>
        <v>284917</v>
      </c>
      <c r="O345" s="155">
        <f t="shared" ref="O345:O353" ca="1" si="155">IF(L345&gt;0,N345*100/L345,0)</f>
        <v>23.89722040494523</v>
      </c>
      <c r="P345" s="155">
        <f t="shared" ref="P345:P353" ca="1" si="156">IF(M345&gt;0,N345*100/M345,0)</f>
        <v>44.997788938374555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1192260</v>
      </c>
      <c r="M347" s="93">
        <f t="shared" ca="1" si="157"/>
        <v>633180</v>
      </c>
      <c r="N347" s="93">
        <f t="shared" ca="1" si="157"/>
        <v>284917</v>
      </c>
      <c r="O347" s="93">
        <f t="shared" ca="1" si="155"/>
        <v>23.89722040494523</v>
      </c>
      <c r="P347" s="93">
        <f t="shared" ca="1" si="156"/>
        <v>44.997788938374555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1118160</v>
      </c>
      <c r="M348" s="496">
        <f t="shared" ca="1" si="158"/>
        <v>559080</v>
      </c>
      <c r="N348" s="496">
        <f t="shared" ca="1" si="158"/>
        <v>210817</v>
      </c>
      <c r="O348" s="496">
        <f t="shared" ca="1" si="155"/>
        <v>18.853920726908491</v>
      </c>
      <c r="P348" s="496">
        <f t="shared" ca="1" si="156"/>
        <v>37.707841453816982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IFERROR(__xludf.DUMMYFUNCTION("IMPORTRANGE(""https://docs.google.com/spreadsheets/d/1MeEWN-I1oV_STSDYn1IFDPWt_1FKiwhDph83XaGc0o0/edit?usp=sharing"",""งบพรบ!FB47"")"),559080)</f>
        <v>559080</v>
      </c>
      <c r="N350" s="93">
        <f ca="1">IFERROR(__xludf.DUMMYFUNCTION("IMPORTRANGE(""https://docs.google.com/spreadsheets/d/1MeEWN-I1oV_STSDYn1IFDPWt_1FKiwhDph83XaGc0o0/edit?usp=sharing"",""งบพรบ!FD47"")"),210817)</f>
        <v>210817</v>
      </c>
      <c r="O350" s="93">
        <f t="shared" ca="1" si="155"/>
        <v>18.853920726908491</v>
      </c>
      <c r="P350" s="93">
        <f t="shared" ca="1" si="156"/>
        <v>37.707841453816982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74100</v>
      </c>
      <c r="M351" s="496">
        <f t="shared" ca="1" si="159"/>
        <v>74100</v>
      </c>
      <c r="N351" s="496">
        <f t="shared" ca="1" si="159"/>
        <v>74100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IFERROR(__xludf.DUMMYFUNCTION("IMPORTRANGE(""https://docs.google.com/spreadsheets/d/1QqKyyYR6Q21VydFLVH3TRQUabQu_ym0Zz7PgGX0-kHA/edit?usp=sharing"",""แผน!EP47"")"),381)</f>
        <v>381</v>
      </c>
      <c r="J355" s="463">
        <f ca="1">J362</f>
        <v>4</v>
      </c>
      <c r="K355" s="464">
        <f ca="1">IF(I355&gt;0,J355*100/I355,0)</f>
        <v>1.0498687664041995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IFERROR(__xludf.DUMMYFUNCTION("IMPORTRANGE(""https://docs.google.com/spreadsheets/d/1XWAQStnk-4SwqDmLtmXYiTMKHgktTP8We1SCoS47DrQ/edit?usp=sharing"",""จัดที่ดิน!W47"")"),0)</f>
        <v>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IFERROR(__xludf.DUMMYFUNCTION("IMPORTRANGE(""https://docs.google.com/spreadsheets/d/1QqKyyYR6Q21VydFLVH3TRQUabQu_ym0Zz7PgGX0-kHA/edit?usp=sharing"",""แผน!EO47"")"),4100)</f>
        <v>4100</v>
      </c>
      <c r="J359" s="269">
        <f ca="1">IFERROR(__xludf.DUMMYFUNCTION("IMPORTRANGE(""https://docs.google.com/spreadsheets/d/1XWAQStnk-4SwqDmLtmXYiTMKHgktTP8We1SCoS47DrQ/edit?usp=sharing"",""จัดที่ดิน!X47"")"),0)</f>
        <v>0</v>
      </c>
      <c r="K359" s="496">
        <f t="shared" ca="1" si="160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IFERROR(__xludf.DUMMYFUNCTION("IMPORTRANGE(""https://docs.google.com/spreadsheets/d/1QqKyyYR6Q21VydFLVH3TRQUabQu_ym0Zz7PgGX0-kHA/edit?usp=sharing"",""แผน!EP47"")"),381)</f>
        <v>381</v>
      </c>
      <c r="J360" s="269">
        <f ca="1">IFERROR(__xludf.DUMMYFUNCTION("IMPORTRANGE(""https://docs.google.com/spreadsheets/d/1XWAQStnk-4SwqDmLtmXYiTMKHgktTP8We1SCoS47DrQ/edit?usp=sharing"",""จัดที่ดิน!Y47"")"),4)</f>
        <v>4</v>
      </c>
      <c r="K360" s="496">
        <f t="shared" ca="1" si="160"/>
        <v>1.0498687664041995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IFERROR(__xludf.DUMMYFUNCTION("IMPORTRANGE(""https://docs.google.com/spreadsheets/d/1XWAQStnk-4SwqDmLtmXYiTMKHgktTP8We1SCoS47DrQ/edit?usp=sharing"",""จัดที่ดิน!Z47"")"),39.71)</f>
        <v>39.71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IFERROR(__xludf.DUMMYFUNCTION("IMPORTRANGE(""https://docs.google.com/spreadsheets/d/1QqKyyYR6Q21VydFLVH3TRQUabQu_ym0Zz7PgGX0-kHA/edit?usp=sharing"",""แผน!EP47"")"),381)</f>
        <v>381</v>
      </c>
      <c r="J362" s="269">
        <f ca="1">IFERROR(__xludf.DUMMYFUNCTION("IMPORTRANGE(""https://docs.google.com/spreadsheets/d/1XWAQStnk-4SwqDmLtmXYiTMKHgktTP8We1SCoS47DrQ/edit?usp=sharing"",""จัดที่ดิน!AA47"")"),4)</f>
        <v>4</v>
      </c>
      <c r="K362" s="496">
        <f t="shared" ca="1" si="160"/>
        <v>1.0498687664041995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IFERROR(__xludf.DUMMYFUNCTION("IMPORTRANGE(""https://docs.google.com/spreadsheets/d/1XWAQStnk-4SwqDmLtmXYiTMKHgktTP8We1SCoS47DrQ/edit?usp=sharing"",""จัดที่ดิน!AB47"")"),39.71)</f>
        <v>39.71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801</v>
      </c>
      <c r="J364" s="477">
        <f t="shared" ca="1" si="161"/>
        <v>18</v>
      </c>
      <c r="K364" s="478">
        <f t="shared" ca="1" si="160"/>
        <v>2.2471910112359552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IFERROR(__xludf.DUMMYFUNCTION("IMPORTRANGE(""https://docs.google.com/spreadsheets/d/1QqKyyYR6Q21VydFLVH3TRQUabQu_ym0Zz7PgGX0-kHA/edit?usp=sharing"",""แผน!EJ47"")"),10)</f>
        <v>10</v>
      </c>
      <c r="J365" s="489">
        <f ca="1">J372</f>
        <v>4</v>
      </c>
      <c r="K365" s="490">
        <f t="shared" ca="1" si="160"/>
        <v>40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IFERROR(__xludf.DUMMYFUNCTION("IMPORTRANGE(""https://docs.google.com/spreadsheets/d/1XWAQStnk-4SwqDmLtmXYiTMKHgktTP8We1SCoS47DrQ/edit?usp=sharing"",""จัดที่ดิน!E47"")"),0)</f>
        <v>0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IFERROR(__xludf.DUMMYFUNCTION("IMPORTRANGE(""https://docs.google.com/spreadsheets/d/1QqKyyYR6Q21VydFLVH3TRQUabQu_ym0Zz7PgGX0-kHA/edit?usp=sharing"",""แผน!EI47"")"),100)</f>
        <v>100</v>
      </c>
      <c r="J369" s="269">
        <f ca="1">IFERROR(__xludf.DUMMYFUNCTION("IMPORTRANGE(""https://docs.google.com/spreadsheets/d/1XWAQStnk-4SwqDmLtmXYiTMKHgktTP8We1SCoS47DrQ/edit?usp=sharing"",""จัดที่ดิน!F47"")"),0)</f>
        <v>0</v>
      </c>
      <c r="K369" s="496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IFERROR(__xludf.DUMMYFUNCTION("IMPORTRANGE(""https://docs.google.com/spreadsheets/d/1QqKyyYR6Q21VydFLVH3TRQUabQu_ym0Zz7PgGX0-kHA/edit?usp=sharing"",""แผน!EJ47"")"),10)</f>
        <v>10</v>
      </c>
      <c r="J370" s="269">
        <f ca="1">IFERROR(__xludf.DUMMYFUNCTION("IMPORTRANGE(""https://docs.google.com/spreadsheets/d/1XWAQStnk-4SwqDmLtmXYiTMKHgktTP8We1SCoS47DrQ/edit?usp=sharing"",""จัดที่ดิน!G47"")"),4)</f>
        <v>4</v>
      </c>
      <c r="K370" s="496">
        <f t="shared" ca="1" si="162"/>
        <v>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IFERROR(__xludf.DUMMYFUNCTION("IMPORTRANGE(""https://docs.google.com/spreadsheets/d/1XWAQStnk-4SwqDmLtmXYiTMKHgktTP8We1SCoS47DrQ/edit?usp=sharing"",""จัดที่ดิน!H47"")"),39.71)</f>
        <v>39.71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IFERROR(__xludf.DUMMYFUNCTION("IMPORTRANGE(""https://docs.google.com/spreadsheets/d/1QqKyyYR6Q21VydFLVH3TRQUabQu_ym0Zz7PgGX0-kHA/edit?usp=sharing"",""แผน!EJ47"")"),10)</f>
        <v>10</v>
      </c>
      <c r="J372" s="269">
        <f ca="1">IFERROR(__xludf.DUMMYFUNCTION("IMPORTRANGE(""https://docs.google.com/spreadsheets/d/1XWAQStnk-4SwqDmLtmXYiTMKHgktTP8We1SCoS47DrQ/edit?usp=sharing"",""จัดที่ดิน!I47"")"),4)</f>
        <v>4</v>
      </c>
      <c r="K372" s="496">
        <f t="shared" ca="1" si="162"/>
        <v>40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IFERROR(__xludf.DUMMYFUNCTION("IMPORTRANGE(""https://docs.google.com/spreadsheets/d/1XWAQStnk-4SwqDmLtmXYiTMKHgktTP8We1SCoS47DrQ/edit?usp=sharing"",""จัดที่ดิน!J47"")"),39.71)</f>
        <v>39.71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IFERROR(__xludf.DUMMYFUNCTION("IMPORTRANGE(""https://docs.google.com/spreadsheets/d/1QqKyyYR6Q21VydFLVH3TRQUabQu_ym0Zz7PgGX0-kHA/edit?usp=sharing"",""แผน!EU47"")"),791)</f>
        <v>791</v>
      </c>
      <c r="J374" s="489">
        <f ca="1">J381</f>
        <v>14</v>
      </c>
      <c r="K374" s="490">
        <f t="shared" ca="1" si="162"/>
        <v>1.7699115044247788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IFERROR(__xludf.DUMMYFUNCTION("IMPORTRANGE(""https://docs.google.com/spreadsheets/d/1XWAQStnk-4SwqDmLtmXYiTMKHgktTP8We1SCoS47DrQ/edit?usp=sharing"",""จัดที่ดิน!AH47"")"),0)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IFERROR(__xludf.DUMMYFUNCTION("IMPORTRANGE(""https://docs.google.com/spreadsheets/d/1QqKyyYR6Q21VydFLVH3TRQUabQu_ym0Zz7PgGX0-kHA/edit?usp=sharing"",""แผน!ET47"")"),4000)</f>
        <v>4000</v>
      </c>
      <c r="J378" s="269">
        <f ca="1">IFERROR(__xludf.DUMMYFUNCTION("IMPORTRANGE(""https://docs.google.com/spreadsheets/d/1XWAQStnk-4SwqDmLtmXYiTMKHgktTP8We1SCoS47DrQ/edit?usp=sharing"",""จัดที่ดิน!AI47"")"),0)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IFERROR(__xludf.DUMMYFUNCTION("IMPORTRANGE(""https://docs.google.com/spreadsheets/d/1QqKyyYR6Q21VydFLVH3TRQUabQu_ym0Zz7PgGX0-kHA/edit?usp=sharing"",""แผน!EU47"")"),791)</f>
        <v>791</v>
      </c>
      <c r="J379" s="269">
        <f ca="1">IFERROR(__xludf.DUMMYFUNCTION("IMPORTRANGE(""https://docs.google.com/spreadsheets/d/1XWAQStnk-4SwqDmLtmXYiTMKHgktTP8We1SCoS47DrQ/edit?usp=sharing"",""จัดที่ดิน!AJ47"")"),12)</f>
        <v>12</v>
      </c>
      <c r="K379" s="496">
        <f t="shared" ca="1" si="163"/>
        <v>1.5170670037926675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IFERROR(__xludf.DUMMYFUNCTION("IMPORTRANGE(""https://docs.google.com/spreadsheets/d/1XWAQStnk-4SwqDmLtmXYiTMKHgktTP8We1SCoS47DrQ/edit?usp=sharing"",""จัดที่ดิน!AK47"")"),208.06)</f>
        <v>208.06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IFERROR(__xludf.DUMMYFUNCTION("IMPORTRANGE(""https://docs.google.com/spreadsheets/d/1QqKyyYR6Q21VydFLVH3TRQUabQu_ym0Zz7PgGX0-kHA/edit?usp=sharing"",""แผน!EU47"")"),791)</f>
        <v>791</v>
      </c>
      <c r="J381" s="269">
        <f ca="1">IFERROR(__xludf.DUMMYFUNCTION("IMPORTRANGE(""https://docs.google.com/spreadsheets/d/1XWAQStnk-4SwqDmLtmXYiTMKHgktTP8We1SCoS47DrQ/edit?usp=sharing"",""จัดที่ดิน!AL47"")"),14)</f>
        <v>14</v>
      </c>
      <c r="K381" s="496">
        <f t="shared" ca="1" si="163"/>
        <v>1.7699115044247788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IFERROR(__xludf.DUMMYFUNCTION("IMPORTRANGE(""https://docs.google.com/spreadsheets/d/1XWAQStnk-4SwqDmLtmXYiTMKHgktTP8We1SCoS47DrQ/edit?usp=sharing"",""จัดที่ดิน!AM47"")"),227.41)</f>
        <v>227.41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IFERROR(__xludf.DUMMYFUNCTION("IMPORTRANGE(""https://docs.google.com/spreadsheets/d/1QqKyyYR6Q21VydFLVH3TRQUabQu_ym0Zz7PgGX0-kHA/edit?usp=sharing"",""แผน!EW47"")"),120)</f>
        <v>120</v>
      </c>
      <c r="J385" s="499">
        <f ca="1">IFERROR(__xludf.DUMMYFUNCTION("IMPORTRANGE(""https://docs.google.com/spreadsheets/d/1XWAQStnk-4SwqDmLtmXYiTMKHgktTP8We1SCoS47DrQ/edit?usp=sharing"",""จัดที่ดิน!AP47"")"),0)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1975664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IFERROR(__xludf.DUMMYFUNCTION("IMPORTRANGE(""https://docs.google.com/spreadsheets/d/1QqKyyYR6Q21VydFLVH3TRQUabQu_ym0Zz7PgGX0-kHA/edit?usp=sharing"",""แผน!FC47"")"),20)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IFERROR(__xludf.DUMMYFUNCTION("IMPORTRANGE(""https://docs.google.com/spreadsheets/d/1QqKyyYR6Q21VydFLVH3TRQUabQu_ym0Zz7PgGX0-kHA/edit?usp=sharing"",""แผน!FD47"")"),0)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IFERROR(__xludf.DUMMYFUNCTION("IMPORTRANGE(""https://docs.google.com/spreadsheets/d/1QqKyyYR6Q21VydFLVH3TRQUabQu_ym0Zz7PgGX0-kHA/edit?usp=sharing"",""แผน!FE47"")"),0)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IFERROR(__xludf.DUMMYFUNCTION("IMPORTRANGE(""https://docs.google.com/spreadsheets/d/1QqKyyYR6Q21VydFLVH3TRQUabQu_ym0Zz7PgGX0-kHA/edit?usp=sharing"",""แผน!FF47"")"),20)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IFERROR(__xludf.DUMMYFUNCTION("IMPORTRANGE(""https://docs.google.com/spreadsheets/d/1QqKyyYR6Q21VydFLVH3TRQUabQu_ym0Zz7PgGX0-kHA/edit?usp=sharing"",""แผน!FG47"")"),1)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IFERROR(__xludf.DUMMYFUNCTION("IMPORTRANGE(""https://docs.google.com/spreadsheets/d/1QqKyyYR6Q21VydFLVH3TRQUabQu_ym0Zz7PgGX0-kHA/edit?usp=sharing"",""แผน!FH47"")"),0)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90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400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690400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690400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690400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IFERROR(__xludf.DUMMYFUNCTION("IMPORTRANGE(""https://docs.google.com/spreadsheets/d/1QqKyyYR6Q21VydFLVH3TRQUabQu_ym0Zz7PgGX0-kHA/edit?usp=sharing"",""แผน!FJ47"")"),690400)</f>
        <v>690400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IFERROR(__xludf.DUMMYFUNCTION("IMPORTRANGE(""https://docs.google.com/spreadsheets/d/1QqKyyYR6Q21VydFLVH3TRQUabQu_ym0Zz7PgGX0-kHA/edit?usp=sharing"",""แผน!FN47"")"),90)</f>
        <v>90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IFERROR(__xludf.DUMMYFUNCTION("IMPORTRANGE(""https://docs.google.com/spreadsheets/d/1QqKyyYR6Q21VydFLVH3TRQUabQu_ym0Zz7PgGX0-kHA/edit?usp=sharing"",""แผน!FO47"")"),400)</f>
        <v>400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IFERROR(__xludf.DUMMYFUNCTION("IMPORTRANGE(""https://docs.google.com/spreadsheets/d/1QqKyyYR6Q21VydFLVH3TRQUabQu_ym0Zz7PgGX0-kHA/edit?usp=sharing"",""แผน!FO47"")"),400)</f>
        <v>400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IFERROR(__xludf.DUMMYFUNCTION("IMPORTRANGE(""https://docs.google.com/spreadsheets/d/1QqKyyYR6Q21VydFLVH3TRQUabQu_ym0Zz7PgGX0-kHA/edit?usp=sharing"",""แผน!FN47"")"),90)</f>
        <v>90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IFERROR(__xludf.DUMMYFUNCTION("IMPORTRANGE(""https://docs.google.com/spreadsheets/d/1QqKyyYR6Q21VydFLVH3TRQUabQu_ym0Zz7PgGX0-kHA/edit?usp=sharing"",""แผน!FX47"")"),51)</f>
        <v>51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IFERROR(__xludf.DUMMYFUNCTION("IMPORTRANGE(""https://docs.google.com/spreadsheets/d/1QqKyyYR6Q21VydFLVH3TRQUabQu_ym0Zz7PgGX0-kHA/edit?usp=sharing"",""แผน!FW47"")"),500)</f>
        <v>500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403983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403983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403983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IFERROR(__xludf.DUMMYFUNCTION("IMPORTRANGE(""https://docs.google.com/spreadsheets/d/1QqKyyYR6Q21VydFLVH3TRQUabQu_ym0Zz7PgGX0-kHA/edit?usp=sharing"",""แผน!FS47"")"),403983)</f>
        <v>403983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IFERROR(__xludf.DUMMYFUNCTION("IMPORTRANGE(""https://docs.google.com/spreadsheets/d/1QqKyyYR6Q21VydFLVH3TRQUabQu_ym0Zz7PgGX0-kHA/edit?usp=sharing"",""แผน!FY47"")"),450)</f>
        <v>450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IFERROR(__xludf.DUMMYFUNCTION("IMPORTRANGE(""https://docs.google.com/spreadsheets/d/1QqKyyYR6Q21VydFLVH3TRQUabQu_ym0Zz7PgGX0-kHA/edit?usp=sharing"",""แผน!FZ47"")"),45)</f>
        <v>45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IFERROR(__xludf.DUMMYFUNCTION("IMPORTRANGE(""https://docs.google.com/spreadsheets/d/1QqKyyYR6Q21VydFLVH3TRQUabQu_ym0Zz7PgGX0-kHA/edit?usp=sharing"",""แผน!GA47"")"),50)</f>
        <v>50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IFERROR(__xludf.DUMMYFUNCTION("IMPORTRANGE(""https://docs.google.com/spreadsheets/d/1QqKyyYR6Q21VydFLVH3TRQUabQu_ym0Zz7PgGX0-kHA/edit?usp=sharing"",""แผน!GB47"")"),5)</f>
        <v>5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IFERROR(__xludf.DUMMYFUNCTION("IMPORTRANGE(""https://docs.google.com/spreadsheets/d/1QqKyyYR6Q21VydFLVH3TRQUabQu_ym0Zz7PgGX0-kHA/edit?usp=sharing"",""แผน!GC47"")"),1)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IFERROR(__xludf.DUMMYFUNCTION("IMPORTRANGE(""https://docs.google.com/spreadsheets/d/1QqKyyYR6Q21VydFLVH3TRQUabQu_ym0Zz7PgGX0-kHA/edit?usp=sharing"",""แผน!FY47"")"),450)</f>
        <v>450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IFERROR(__xludf.DUMMYFUNCTION("IMPORTRANGE(""https://docs.google.com/spreadsheets/d/1QqKyyYR6Q21VydFLVH3TRQUabQu_ym0Zz7PgGX0-kHA/edit?usp=sharing"",""แผน!GA47"")"),50)</f>
        <v>50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IFERROR(__xludf.DUMMYFUNCTION("IMPORTRANGE(""https://docs.google.com/spreadsheets/d/1QqKyyYR6Q21VydFLVH3TRQUabQu_ym0Zz7PgGX0-kHA/edit?usp=sharing"",""แผน!GU47"")"),0)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IFERROR(__xludf.DUMMYFUNCTION("IMPORTRANGE(""https://docs.google.com/spreadsheets/d/1QqKyyYR6Q21VydFLVH3TRQUabQu_ym0Zz7PgGX0-kHA/edit?usp=sharing"",""แผน!GV47"")"),0)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IFERROR(__xludf.DUMMYFUNCTION("IMPORTRANGE(""https://docs.google.com/spreadsheets/d/1QqKyyYR6Q21VydFLVH3TRQUabQu_ym0Zz7PgGX0-kHA/edit?usp=sharing"",""แผน!GW47"")"),0)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IFERROR(__xludf.DUMMYFUNCTION("IMPORTRANGE(""https://docs.google.com/spreadsheets/d/1QqKyyYR6Q21VydFLVH3TRQUabQu_ym0Zz7PgGX0-kHA/edit?usp=sharing"",""แผน!GX47"")"),0)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IFERROR(__xludf.DUMMYFUNCTION("IMPORTRANGE(""https://docs.google.com/spreadsheets/d/1QqKyyYR6Q21VydFLVH3TRQUabQu_ym0Zz7PgGX0-kHA/edit?usp=sharing"",""แผน!GY47"")"),0)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IFERROR(__xludf.DUMMYFUNCTION("IMPORTRANGE(""https://docs.google.com/spreadsheets/d/1QqKyyYR6Q21VydFLVH3TRQUabQu_ym0Zz7PgGX0-kHA/edit?usp=sharing"",""แผน!GZ47"")"),0)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3345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360721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360721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360721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IFERROR(__xludf.DUMMYFUNCTION("IMPORTRANGE(""https://docs.google.com/spreadsheets/d/1QqKyyYR6Q21VydFLVH3TRQUabQu_ym0Zz7PgGX0-kHA/edit?usp=sharing"",""แผน!HB47"")"),360721)</f>
        <v>360721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3345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IFERROR(__xludf.DUMMYFUNCTION("IMPORTRANGE(""https://docs.google.com/spreadsheets/d/1QqKyyYR6Q21VydFLVH3TRQUabQu_ym0Zz7PgGX0-kHA/edit?usp=sharing"",""แผน!HH47"")"),3345)</f>
        <v>3345</v>
      </c>
      <c r="J560" s="193">
        <f t="shared" ref="J560:J561" si="246">J562+J564+J566</f>
        <v>3345.4</v>
      </c>
      <c r="K560" s="410">
        <f t="shared" ca="1" si="245"/>
        <v>100.01195814648729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6"/>
        <v>1178</v>
      </c>
      <c r="K561" s="410">
        <f t="shared" ca="1" si="245"/>
        <v>100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2954.9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1080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304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80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86.5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18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IFERROR(__xludf.DUMMYFUNCTION("IMPORTRANGE(""https://docs.google.com/spreadsheets/d/1QqKyyYR6Q21VydFLVH3TRQUabQu_ym0Zz7PgGX0-kHA/edit?usp=sharing"",""แผน!HH47"")"),3345)</f>
        <v>3345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IFERROR(__xludf.DUMMYFUNCTION("IMPORTRANGE(""https://docs.google.com/spreadsheets/d/1QqKyyYR6Q21VydFLVH3TRQUabQu_ym0Zz7PgGX0-kHA/edit?usp=sharing"",""แผน!HH47"")"),3345)</f>
        <v>3345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14000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IFERROR(__xludf.DUMMYFUNCTION("IMPORTRANGE(""https://docs.google.com/spreadsheets/d/1QqKyyYR6Q21VydFLVH3TRQUabQu_ym0Zz7PgGX0-kHA/edit?usp=sharing"",""แผน!HJ47"")"),14000)</f>
        <v>14000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IFERROR(__xludf.DUMMYFUNCTION("IMPORTRANGE(""https://docs.google.com/spreadsheets/d/1QqKyyYR6Q21VydFLVH3TRQUabQu_ym0Zz7PgGX0-kHA/edit?usp=sharing"",""แผน!HL47"")"),0)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IFERROR(__xludf.DUMMYFUNCTION("IMPORTRANGE(""https://docs.google.com/spreadsheets/d/1QqKyyYR6Q21VydFLVH3TRQUabQu_ym0Zz7PgGX0-kHA/edit?usp=sharing"",""แผน!HK47"")"),0)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230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423310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423310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423310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IFERROR(__xludf.DUMMYFUNCTION("IMPORTRANGE(""https://docs.google.com/spreadsheets/d/1QqKyyYR6Q21VydFLVH3TRQUabQu_ym0Zz7PgGX0-kHA/edit?usp=sharing"",""แผน!HR47"")"),0)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IFERROR(__xludf.DUMMYFUNCTION("IMPORTRANGE(""https://docs.google.com/spreadsheets/d/1QqKyyYR6Q21VydFLVH3TRQUabQu_ym0Zz7PgGX0-kHA/edit?usp=sharing"",""แผน!HR47"")"),0)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IFERROR(__xludf.DUMMYFUNCTION("IMPORTRANGE(""https://docs.google.com/spreadsheets/d/1XWAQStnk-4SwqDmLtmXYiTMKHgktTP8We1SCoS47DrQ/edit?usp=sharing"",""จัดที่ดิน!AS47"")"),0)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IFERROR(__xludf.DUMMYFUNCTION("IMPORTRANGE(""https://docs.google.com/spreadsheets/d/1XWAQStnk-4SwqDmLtmXYiTMKHgktTP8We1SCoS47DrQ/edit?usp=sharing"",""จัดที่ดิน!AT47"")"),0)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IFERROR(__xludf.DUMMYFUNCTION("IMPORTRANGE(""https://docs.google.com/spreadsheets/d/1QqKyyYR6Q21VydFLVH3TRQUabQu_ym0Zz7PgGX0-kHA/edit?usp=sharing"",""แผน!HS47"")"),230)</f>
        <v>230</v>
      </c>
      <c r="J647" s="269">
        <f ca="1">IFERROR(__xludf.DUMMYFUNCTION("IMPORTRANGE(""https://docs.google.com/spreadsheets/d/1XWAQStnk-4SwqDmLtmXYiTMKHgktTP8We1SCoS47DrQ/edit?usp=sharing"",""จัดที่ดิน!AU47"")"),0)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IFERROR(__xludf.DUMMYFUNCTION("IMPORTRANGE(""https://docs.google.com/spreadsheets/d/1XWAQStnk-4SwqDmLtmXYiTMKHgktTP8We1SCoS47DrQ/edit?usp=sharing"",""จัดที่ดิน!AV47"")"),0)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IFERROR(__xludf.DUMMYFUNCTION("IMPORTRANGE(""https://docs.google.com/spreadsheets/d/1QqKyyYR6Q21VydFLVH3TRQUabQu_ym0Zz7PgGX0-kHA/edit?usp=sharing"",""แผน!HS47"")"),230)</f>
        <v>230</v>
      </c>
      <c r="J649" s="269">
        <f ca="1">IFERROR(__xludf.DUMMYFUNCTION("IMPORTRANGE(""https://docs.google.com/spreadsheets/d/1XWAQStnk-4SwqDmLtmXYiTMKHgktTP8We1SCoS47DrQ/edit?usp=sharing"",""จัดที่ดิน!AW47"")"),0)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IFERROR(__xludf.DUMMYFUNCTION("IMPORTRANGE(""https://docs.google.com/spreadsheets/d/1XWAQStnk-4SwqDmLtmXYiTMKHgktTP8We1SCoS47DrQ/edit?usp=sharing"",""จัดที่ดิน!AX47"")"),0)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IFERROR(__xludf.DUMMYFUNCTION("IMPORTRANGE(""https://docs.google.com/spreadsheets/d/1QqKyyYR6Q21VydFLVH3TRQUabQu_ym0Zz7PgGX0-kHA/edit?usp=sharing"",""แผน!HS47"")"),230)</f>
        <v>230</v>
      </c>
      <c r="J651" s="269">
        <f ca="1">IFERROR(__xludf.DUMMYFUNCTION("IMPORTRANGE(""https://docs.google.com/spreadsheets/d/1XWAQStnk-4SwqDmLtmXYiTMKHgktTP8We1SCoS47DrQ/edit?usp=sharing"",""จัดที่ดิน!AY47"")"),0)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IFERROR(__xludf.DUMMYFUNCTION("IMPORTRANGE(""https://docs.google.com/spreadsheets/d/1XWAQStnk-4SwqDmLtmXYiTMKHgktTP8We1SCoS47DrQ/edit?usp=sharing"",""จัดที่ดิน!AZ47"")"),0)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100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12400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12400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12400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IFERROR(__xludf.DUMMYFUNCTION("IMPORTRANGE(""https://docs.google.com/spreadsheets/d/1QqKyyYR6Q21VydFLVH3TRQUabQu_ym0Zz7PgGX0-kHA/edit?usp=sharing"",""แผน!IA47"")"),100)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IFERROR(__xludf.DUMMYFUNCTION("IMPORTRANGE(""https://docs.google.com/spreadsheets/d/1QqKyyYR6Q21VydFLVH3TRQUabQu_ym0Zz7PgGX0-kHA/edit?usp=sharing"",""แผน!HZ47"")"),4)</f>
        <v>4</v>
      </c>
      <c r="J670" s="214">
        <v>4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IFERROR(__xludf.DUMMYFUNCTION("IMPORTRANGE(""https://docs.google.com/spreadsheets/d/1QqKyyYR6Q21VydFLVH3TRQUabQu_ym0Zz7PgGX0-kHA/edit?usp=sharing"",""แผน!HZ47"")"),4)</f>
        <v>4</v>
      </c>
      <c r="J671" s="214">
        <v>4</v>
      </c>
      <c r="K671" s="496">
        <f ca="1">IF(I$671&gt;0,J671*100/I$671,0)</f>
        <v>100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IFERROR(__xludf.DUMMYFUNCTION("IMPORTRANGE(""https://docs.google.com/spreadsheets/d/1QqKyyYR6Q21VydFLVH3TRQUabQu_ym0Zz7PgGX0-kHA/edit?usp=sharing"",""แผน!IB47"")"),0)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6190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6190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6190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IFERROR(__xludf.DUMMYFUNCTION("IMPORTRANGE(""https://docs.google.com/spreadsheets/d/1QqKyyYR6Q21VydFLVH3TRQUabQu_ym0Zz7PgGX0-kHA/edit?usp=sharing"",""แผน!IC47"")"),0)</f>
        <v>0</v>
      </c>
      <c r="J699" s="269">
        <f ca="1">IFERROR(__xludf.DUMMYFUNCTION("IMPORTRANGE(""https://docs.google.com/spreadsheets/d/1XWAQStnk-4SwqDmLtmXYiTMKHgktTP8We1SCoS47DrQ/edit?usp=sharing"",""จัดที่ดิน!BB47"")"),0)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IFERROR(__xludf.DUMMYFUNCTION("IMPORTRANGE(""https://docs.google.com/spreadsheets/d/1QqKyyYR6Q21VydFLVH3TRQUabQu_ym0Zz7PgGX0-kHA/edit?usp=sharing"",""แผน!ID47"")"),0)</f>
        <v>0</v>
      </c>
      <c r="J700" s="269">
        <f ca="1">IFERROR(__xludf.DUMMYFUNCTION("IMPORTRANGE(""https://docs.google.com/spreadsheets/d/1XWAQStnk-4SwqDmLtmXYiTMKHgktTP8We1SCoS47DrQ/edit?usp=sharing"",""จัดที่ดิน!BD47"")"),0)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IFERROR(__xludf.DUMMYFUNCTION("IMPORTRANGE(""https://docs.google.com/spreadsheets/d/1QqKyyYR6Q21VydFLVH3TRQUabQu_ym0Zz7PgGX0-kHA/edit?usp=sharing"",""แผน!IE47"")"),20)</f>
        <v>20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IFERROR(__xludf.DUMMYFUNCTION("IMPORTRANGE(""https://docs.google.com/spreadsheets/d/1QqKyyYR6Q21VydFLVH3TRQUabQu_ym0Zz7PgGX0-kHA/edit?usp=sharing"",""แผน!IF47"")"),20)</f>
        <v>20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IFERROR(__xludf.DUMMYFUNCTION("IMPORTRANGE(""https://docs.google.com/spreadsheets/d/1QqKyyYR6Q21VydFLVH3TRQUabQu_ym0Zz7PgGX0-kHA/edit?usp=sharing"",""แผน!IG47"")"),0)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IFERROR(__xludf.DUMMYFUNCTION("IMPORTRANGE(""https://docs.google.com/spreadsheets/d/1QqKyyYR6Q21VydFLVH3TRQUabQu_ym0Zz7PgGX0-kHA/edit?usp=sharing"",""แผน!IH47"")"),0)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IFERROR(__xludf.DUMMYFUNCTION("IMPORTRANGE(""https://docs.google.com/spreadsheets/d/1XWAQStnk-4SwqDmLtmXYiTMKHgktTP8We1SCoS47DrQ/edit?usp=sharing"",""จัดที่ดิน!BF47"")"),0)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IFERROR(__xludf.DUMMYFUNCTION("IMPORTRANGE(""https://docs.google.com/spreadsheets/d/1XWAQStnk-4SwqDmLtmXYiTMKHgktTP8We1SCoS47DrQ/edit?usp=sharing"",""จัดที่ดิน!BG47"")"),0)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IFERROR(__xludf.DUMMYFUNCTION("IMPORTRANGE(""https://docs.google.com/spreadsheets/d/1QqKyyYR6Q21VydFLVH3TRQUabQu_ym0Zz7PgGX0-kHA/edit?usp=sharing"",""แผน!II47"")"),77)</f>
        <v>77</v>
      </c>
      <c r="J720" s="269">
        <f ca="1">IFERROR(__xludf.DUMMYFUNCTION("IMPORTRANGE(""https://docs.google.com/spreadsheets/d/1XWAQStnk-4SwqDmLtmXYiTMKHgktTP8We1SCoS47DrQ/edit?usp=sharing"",""จัดที่ดิน!BH47"")"),0)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IFERROR(__xludf.DUMMYFUNCTION("IMPORTRANGE(""https://docs.google.com/spreadsheets/d/1QqKyyYR6Q21VydFLVH3TRQUabQu_ym0Zz7PgGX0-kHA/edit?usp=sharing"",""แผน!IJ47"")"),4)</f>
        <v>4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IFERROR(__xludf.DUMMYFUNCTION("IMPORTRANGE(""https://docs.google.com/spreadsheets/d/1QqKyyYR6Q21VydFLVH3TRQUabQu_ym0Zz7PgGX0-kHA/edit?usp=sharing"",""แผน!IK47"")"),40)</f>
        <v>40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IFERROR(__xludf.DUMMYFUNCTION("IMPORTRANGE(""https://docs.google.com/spreadsheets/d/1QqKyyYR6Q21VydFLVH3TRQUabQu_ym0Zz7PgGX0-kHA/edit?usp=sharing"",""แผน!IL47"")"),2)</f>
        <v>2</v>
      </c>
      <c r="J723" s="269">
        <f ca="1">IFERROR(__xludf.DUMMYFUNCTION("IMPORTRANGE(""https://docs.google.com/spreadsheets/d/1XWAQStnk-4SwqDmLtmXYiTMKHgktTP8We1SCoS47DrQ/edit?usp=sharing"",""จัดที่ดิน!BM47"")"),0)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IFERROR(__xludf.DUMMYFUNCTION("IMPORTRANGE(""https://docs.google.com/spreadsheets/d/1XWAQStnk-4SwqDmLtmXYiTMKHgktTP8We1SCoS47DrQ/edit?usp=sharing"",""จัดที่ดิน!BN47"")"),0)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IFERROR(__xludf.DUMMYFUNCTION("IMPORTRANGE(""https://docs.google.com/spreadsheets/d/1QqKyyYR6Q21VydFLVH3TRQUabQu_ym0Zz7PgGX0-kHA/edit?usp=sharing"",""แผน!IM47"")"),20)</f>
        <v>20</v>
      </c>
      <c r="J725" s="269">
        <f ca="1">IFERROR(__xludf.DUMMYFUNCTION("IMPORTRANGE(""https://docs.google.com/spreadsheets/d/1XWAQStnk-4SwqDmLtmXYiTMKHgktTP8We1SCoS47DrQ/edit?usp=sharing"",""จัดที่ดิน!BO47"")"),0)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IFERROR(__xludf.DUMMYFUNCTION("IMPORTRANGE(""https://docs.google.com/spreadsheets/d/1QqKyyYR6Q21VydFLVH3TRQUabQu_ym0Zz7PgGX0-kHA/edit?usp=sharing"",""แผน!IN47"")"),2)</f>
        <v>2</v>
      </c>
      <c r="J726" s="269">
        <f ca="1">IFERROR(__xludf.DUMMYFUNCTION("IMPORTRANGE(""https://docs.google.com/spreadsheets/d/1XWAQStnk-4SwqDmLtmXYiTMKHgktTP8We1SCoS47DrQ/edit?usp=sharing"",""จัดที่ดิน!BR47"")"),0)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IFERROR(__xludf.DUMMYFUNCTION("IMPORTRANGE(""https://docs.google.com/spreadsheets/d/1XWAQStnk-4SwqDmLtmXYiTMKHgktTP8We1SCoS47DrQ/edit?usp=sharing"",""จัดที่ดิน!BS47"")"),0)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IFERROR(__xludf.DUMMYFUNCTION("IMPORTRANGE(""https://docs.google.com/spreadsheets/d/1QqKyyYR6Q21VydFLVH3TRQUabQu_ym0Zz7PgGX0-kHA/edit?usp=sharing"",""แผน!IO47"")"),20)</f>
        <v>20</v>
      </c>
      <c r="J728" s="269">
        <f ca="1">IFERROR(__xludf.DUMMYFUNCTION("IMPORTRANGE(""https://docs.google.com/spreadsheets/d/1XWAQStnk-4SwqDmLtmXYiTMKHgktTP8We1SCoS47DrQ/edit?usp=sharing"",""จัดที่ดิน!BT47"")"),0)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IFERROR(__xludf.DUMMYFUNCTION("IMPORTRANGE(""https://docs.google.com/spreadsheets/d/1QqKyyYR6Q21VydFLVH3TRQUabQu_ym0Zz7PgGX0-kHA/edit?usp=sharing"",""แผน!IP47"")"),0)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IFERROR(__xludf.DUMMYFUNCTION("IMPORTRANGE(""https://docs.google.com/spreadsheets/d/1MaWodYyGHDf7siQLGxnXhG4mBNTNIuy296niS2xXulU/edit?usp=sharing"",""RTK!I47"")"),0)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69">
        <f ca="1">IFERROR(__xludf.DUMMYFUNCTION("IMPORTRANGE(""https://docs.google.com/spreadsheets/d/19vJNZY_5yjcGF2XGBMNZRCAIB0Kwfpjp8YEOfu-bneM/edit?usp=sharing"",""งานกองทุน!F47"")"),0)</f>
        <v>0</v>
      </c>
      <c r="K821" s="496">
        <f t="shared" ref="K821:K828" ca="1" si="334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IFERROR(__xludf.DUMMYFUNCTION("IMPORTRANGE(""https://docs.google.com/spreadsheets/d/19vJNZY_5yjcGF2XGBMNZRCAIB0Kwfpjp8YEOfu-bneM/edit?usp=sharing"",""งานกองทุน!C47"")"),342)</f>
        <v>342</v>
      </c>
      <c r="J822" s="269">
        <f ca="1">IFERROR(__xludf.DUMMYFUNCTION("IMPORTRANGE(""https://docs.google.com/spreadsheets/d/19vJNZY_5yjcGF2XGBMNZRCAIB0Kwfpjp8YEOfu-bneM/edit?usp=sharing"",""งานกองทุน!E47"")"),0)</f>
        <v>0</v>
      </c>
      <c r="K822" s="496">
        <f t="shared" ca="1" si="334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69">
        <f ca="1">IFERROR(__xludf.DUMMYFUNCTION("IMPORTRANGE(""https://docs.google.com/spreadsheets/d/19vJNZY_5yjcGF2XGBMNZRCAIB0Kwfpjp8YEOfu-bneM/edit?usp=sharing"",""งานกองทุน!K47"")"),19999.85)</f>
        <v>19999.849999999999</v>
      </c>
      <c r="K823" s="496">
        <f t="shared" ca="1" si="334"/>
        <v>3.6345796061045692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IFERROR(__xludf.DUMMYFUNCTION("IMPORTRANGE(""https://docs.google.com/spreadsheets/d/19vJNZY_5yjcGF2XGBMNZRCAIB0Kwfpjp8YEOfu-bneM/edit?usp=sharing"",""งานกองทุน!H47"")"),38)</f>
        <v>38</v>
      </c>
      <c r="J824" s="269">
        <f ca="1">IFERROR(__xludf.DUMMYFUNCTION("IMPORTRANGE(""https://docs.google.com/spreadsheets/d/19vJNZY_5yjcGF2XGBMNZRCAIB0Kwfpjp8YEOfu-bneM/edit?usp=sharing"",""งานกองทุน!J47"")"),2)</f>
        <v>2</v>
      </c>
      <c r="K824" s="496">
        <f t="shared" ca="1" si="334"/>
        <v>5.2631578947368425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IFERROR(__xludf.DUMMYFUNCTION("IMPORTRANGE(""https://docs.google.com/spreadsheets/d/19vJNZY_5yjcGF2XGBMNZRCAIB0Kwfpjp8YEOfu-bneM/edit?usp=sharing"",""งานกองทุน!N47"")"),80186.47)</f>
        <v>80186.47</v>
      </c>
      <c r="J825" s="269">
        <f ca="1">IFERROR(__xludf.DUMMYFUNCTION("IMPORTRANGE(""https://docs.google.com/spreadsheets/d/19vJNZY_5yjcGF2XGBMNZRCAIB0Kwfpjp8YEOfu-bneM/edit?usp=sharing"",""งานกองทุน!P47"")"),91989.29)</f>
        <v>91989.29</v>
      </c>
      <c r="K825" s="496">
        <f t="shared" ca="1" si="334"/>
        <v>114.71921634659812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IFERROR(__xludf.DUMMYFUNCTION("IMPORTRANGE(""https://docs.google.com/spreadsheets/d/19vJNZY_5yjcGF2XGBMNZRCAIB0Kwfpjp8YEOfu-bneM/edit?usp=sharing"",""งานกองทุน!M47"")"),15)</f>
        <v>15</v>
      </c>
      <c r="J826" s="269">
        <f ca="1">IFERROR(__xludf.DUMMYFUNCTION("IMPORTRANGE(""https://docs.google.com/spreadsheets/d/19vJNZY_5yjcGF2XGBMNZRCAIB0Kwfpjp8YEOfu-bneM/edit?usp=sharing"",""งานกองทุน!O47"")"),7)</f>
        <v>7</v>
      </c>
      <c r="K826" s="496">
        <f t="shared" ca="1" si="334"/>
        <v>46.666666666666664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IFERROR(__xludf.DUMMYFUNCTION("IMPORTRANGE(""https://docs.google.com/spreadsheets/d/19vJNZY_5yjcGF2XGBMNZRCAIB0Kwfpjp8YEOfu-bneM/edit?usp=sharing"",""งานกองทุน!S47"")"),4200000)</f>
        <v>4200000</v>
      </c>
      <c r="J827" s="269">
        <f ca="1">IFERROR(__xludf.DUMMYFUNCTION("IMPORTRANGE(""https://docs.google.com/spreadsheets/d/19vJNZY_5yjcGF2XGBMNZRCAIB0Kwfpjp8YEOfu-bneM/edit?usp=sharing"",""งานกองทุน!U47"")"),0)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IFERROR(__xludf.DUMMYFUNCTION("IMPORTRANGE(""https://docs.google.com/spreadsheets/d/19vJNZY_5yjcGF2XGBMNZRCAIB0Kwfpjp8YEOfu-bneM/edit?usp=sharing"",""งานกองทุน!R47"")"),115)</f>
        <v>115</v>
      </c>
      <c r="J828" s="499">
        <f ca="1">IFERROR(__xludf.DUMMYFUNCTION("IMPORTRANGE(""https://docs.google.com/spreadsheets/d/19vJNZY_5yjcGF2XGBMNZRCAIB0Kwfpjp8YEOfu-bneM/edit?usp=sharing"",""งานกองทุน!T47"")"),33)</f>
        <v>33</v>
      </c>
      <c r="K828" s="500">
        <f t="shared" ca="1" si="334"/>
        <v>28.695652173913043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F3532-4FB5-431A-ACA0-FCD1FAD4A6C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353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8401052</v>
      </c>
      <c r="M8" s="22">
        <f t="shared" ca="1" si="0"/>
        <v>3799102</v>
      </c>
      <c r="N8" s="22">
        <f t="shared" ca="1" si="0"/>
        <v>1044233.8999999999</v>
      </c>
      <c r="O8" s="22">
        <f t="shared" ref="O8:O16" ca="1" si="1">IF(L8&gt;0,N8*100/L8,0)</f>
        <v>12.429799267996435</v>
      </c>
      <c r="P8" s="22">
        <f t="shared" ref="P8:P16" ca="1" si="2">IF(M8&gt;0,N8*100/M8,0)</f>
        <v>27.4863349286226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8401052</v>
      </c>
      <c r="M10" s="30">
        <f t="shared" ca="1" si="3"/>
        <v>3799102</v>
      </c>
      <c r="N10" s="30">
        <f t="shared" ca="1" si="3"/>
        <v>1044233.8999999999</v>
      </c>
      <c r="O10" s="30">
        <f t="shared" ca="1" si="1"/>
        <v>12.429799267996435</v>
      </c>
      <c r="P10" s="30">
        <f t="shared" ca="1" si="2"/>
        <v>27.4863349286226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6480552</v>
      </c>
      <c r="M11" s="496">
        <f t="shared" ca="1" si="4"/>
        <v>1878602</v>
      </c>
      <c r="N11" s="496">
        <f t="shared" ca="1" si="4"/>
        <v>631248.89999999991</v>
      </c>
      <c r="O11" s="496">
        <f t="shared" ca="1" si="1"/>
        <v>9.7406656099665572</v>
      </c>
      <c r="P11" s="496">
        <f t="shared" ca="1" si="2"/>
        <v>33.602056209883727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6480552</v>
      </c>
      <c r="M13" s="93">
        <f t="shared" ca="1" si="5"/>
        <v>1878602</v>
      </c>
      <c r="N13" s="93">
        <f t="shared" ca="1" si="5"/>
        <v>631248.89999999991</v>
      </c>
      <c r="O13" s="93">
        <f t="shared" ca="1" si="1"/>
        <v>9.7406656099665572</v>
      </c>
      <c r="P13" s="93">
        <f t="shared" ca="1" si="2"/>
        <v>33.602056209883727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1920500</v>
      </c>
      <c r="M14" s="496">
        <f t="shared" ca="1" si="6"/>
        <v>1920500</v>
      </c>
      <c r="N14" s="496">
        <f t="shared" ca="1" si="6"/>
        <v>412985</v>
      </c>
      <c r="O14" s="496">
        <f t="shared" ca="1" si="1"/>
        <v>21.504035407445979</v>
      </c>
      <c r="P14" s="496">
        <f t="shared" ca="1" si="2"/>
        <v>21.504035407445979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1920500</v>
      </c>
      <c r="N16" s="52">
        <f t="shared" ca="1" si="7"/>
        <v>412985</v>
      </c>
      <c r="O16" s="52">
        <f t="shared" ca="1" si="1"/>
        <v>21.504035407445979</v>
      </c>
      <c r="P16" s="52">
        <f t="shared" ca="1" si="2"/>
        <v>21.504035407445979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3799102</v>
      </c>
      <c r="N18" s="22">
        <f t="shared" ca="1" si="8"/>
        <v>1044233.8999999999</v>
      </c>
      <c r="O18" s="22">
        <f t="shared" ref="O18:O26" ca="1" si="9">IF(L18&gt;0,N18*100/L18,0)</f>
        <v>18.733300778657142</v>
      </c>
      <c r="P18" s="22">
        <f t="shared" ref="P18:P26" ca="1" si="10">IF(M18&gt;0,N18*100/M18,0)</f>
        <v>27.4863349286226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3799102</v>
      </c>
      <c r="N20" s="30">
        <f t="shared" ca="1" si="11"/>
        <v>1044233.8999999999</v>
      </c>
      <c r="O20" s="30">
        <f t="shared" ca="1" si="9"/>
        <v>18.733300778657142</v>
      </c>
      <c r="P20" s="30">
        <f t="shared" ca="1" si="10"/>
        <v>27.4863349286226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3653712</v>
      </c>
      <c r="M21" s="496">
        <f t="shared" ca="1" si="12"/>
        <v>1878602</v>
      </c>
      <c r="N21" s="496">
        <f t="shared" ca="1" si="12"/>
        <v>631248.89999999991</v>
      </c>
      <c r="O21" s="496">
        <f t="shared" ca="1" si="9"/>
        <v>17.276920019968731</v>
      </c>
      <c r="P21" s="496">
        <f t="shared" ca="1" si="10"/>
        <v>33.602056209883727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3653712</v>
      </c>
      <c r="M23" s="93">
        <f t="shared" ca="1" si="13"/>
        <v>1878602</v>
      </c>
      <c r="N23" s="93">
        <f t="shared" ca="1" si="13"/>
        <v>631248.89999999991</v>
      </c>
      <c r="O23" s="93">
        <f t="shared" ca="1" si="9"/>
        <v>17.276920019968731</v>
      </c>
      <c r="P23" s="93">
        <f t="shared" ca="1" si="10"/>
        <v>33.602056209883727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1920500</v>
      </c>
      <c r="M24" s="496">
        <f t="shared" ca="1" si="14"/>
        <v>1920500</v>
      </c>
      <c r="N24" s="496">
        <f t="shared" ca="1" si="14"/>
        <v>412985</v>
      </c>
      <c r="O24" s="496">
        <f t="shared" ca="1" si="9"/>
        <v>21.504035407445979</v>
      </c>
      <c r="P24" s="496">
        <f t="shared" ca="1" si="10"/>
        <v>21.504035407445979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1920500</v>
      </c>
      <c r="N26" s="52">
        <f t="shared" ca="1" si="15"/>
        <v>412985</v>
      </c>
      <c r="O26" s="52">
        <f t="shared" ca="1" si="9"/>
        <v>21.504035407445979</v>
      </c>
      <c r="P26" s="52">
        <f t="shared" ca="1" si="10"/>
        <v>21.504035407445979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2826840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2826840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2826840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2826840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5574212</v>
      </c>
      <c r="M37" s="59">
        <f t="shared" ca="1" si="24"/>
        <v>3799102</v>
      </c>
      <c r="N37" s="59">
        <f t="shared" ca="1" si="24"/>
        <v>1044233.8999999999</v>
      </c>
      <c r="O37" s="59">
        <f t="shared" ca="1" si="17"/>
        <v>18.733300778657142</v>
      </c>
      <c r="P37" s="59">
        <f t="shared" ca="1" si="18"/>
        <v>27.4863349286226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362192</v>
      </c>
      <c r="N41" s="85">
        <f t="shared" ca="1" si="25"/>
        <v>163807</v>
      </c>
      <c r="O41" s="85">
        <f t="shared" ref="O41:O49" ca="1" si="26">IF(L41&gt;0,N41*100/L41,0)</f>
        <v>22.737014221824936</v>
      </c>
      <c r="P41" s="85">
        <f t="shared" ref="P41:P49" ca="1" si="27">IF(M41&gt;0,N41*100/M41,0)</f>
        <v>45.226564915845742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362192</v>
      </c>
      <c r="N43" s="92">
        <f t="shared" ca="1" si="28"/>
        <v>163807</v>
      </c>
      <c r="O43" s="92">
        <f t="shared" ca="1" si="26"/>
        <v>22.737014221824936</v>
      </c>
      <c r="P43" s="92">
        <f t="shared" ca="1" si="27"/>
        <v>45.226564915845742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720442</v>
      </c>
      <c r="M44" s="496">
        <f t="shared" ca="1" si="29"/>
        <v>362192</v>
      </c>
      <c r="N44" s="496">
        <f t="shared" ca="1" si="29"/>
        <v>163807</v>
      </c>
      <c r="O44" s="496">
        <f t="shared" ca="1" si="26"/>
        <v>22.737014221824936</v>
      </c>
      <c r="P44" s="496">
        <f t="shared" ca="1" si="27"/>
        <v>45.226564915845742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IFERROR(__xludf.DUMMYFUNCTION("IMPORTRANGE(""https://docs.google.com/spreadsheets/d/1MeEWN-I1oV_STSDYn1IFDPWt_1FKiwhDph83XaGc0o0/edit?usp=sharing"",""งบพรบ!R48"")"),362192)</f>
        <v>362192</v>
      </c>
      <c r="N46" s="93">
        <f ca="1">IFERROR(__xludf.DUMMYFUNCTION("IMPORTRANGE(""https://docs.google.com/spreadsheets/d/1MeEWN-I1oV_STSDYn1IFDPWt_1FKiwhDph83XaGc0o0/edit?usp=sharing"",""งบพรบ!T48"")"),163807)</f>
        <v>163807</v>
      </c>
      <c r="O46" s="93">
        <f t="shared" ca="1" si="26"/>
        <v>22.737014221824936</v>
      </c>
      <c r="P46" s="93">
        <f t="shared" ca="1" si="27"/>
        <v>45.226564915845742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1991120</v>
      </c>
      <c r="N53" s="116">
        <f t="shared" ca="1" si="31"/>
        <v>257147.72</v>
      </c>
      <c r="O53" s="116">
        <f t="shared" ref="O53:O61" ca="1" si="32">IF(L53&gt;0,N53*100/L53,0)</f>
        <v>11.375700951117009</v>
      </c>
      <c r="P53" s="116">
        <f t="shared" ref="P53:P61" ca="1" si="33">IF(M53&gt;0,N53*100/M53,0)</f>
        <v>12.914727389609867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1991120</v>
      </c>
      <c r="N55" s="123">
        <f t="shared" ca="1" si="34"/>
        <v>257147.72</v>
      </c>
      <c r="O55" s="123">
        <f t="shared" ca="1" si="32"/>
        <v>11.375700951117009</v>
      </c>
      <c r="P55" s="123">
        <f t="shared" ca="1" si="33"/>
        <v>12.914727389609867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652000</v>
      </c>
      <c r="M56" s="496">
        <f t="shared" ca="1" si="35"/>
        <v>382620</v>
      </c>
      <c r="N56" s="496">
        <f t="shared" ca="1" si="35"/>
        <v>156147.72</v>
      </c>
      <c r="O56" s="496">
        <f t="shared" ca="1" si="32"/>
        <v>23.949036809815951</v>
      </c>
      <c r="P56" s="496">
        <f t="shared" ca="1" si="33"/>
        <v>40.81013015524541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IFERROR(__xludf.DUMMYFUNCTION("IMPORTRANGE(""https://docs.google.com/spreadsheets/d/1MeEWN-I1oV_STSDYn1IFDPWt_1FKiwhDph83XaGc0o0/edit?usp=sharing"",""งบพรบ!AB48"")"),382620)</f>
        <v>382620</v>
      </c>
      <c r="N58" s="93">
        <f ca="1">IFERROR(__xludf.DUMMYFUNCTION("IMPORTRANGE(""https://docs.google.com/spreadsheets/d/1MeEWN-I1oV_STSDYn1IFDPWt_1FKiwhDph83XaGc0o0/edit?usp=sharing"",""งบพรบ!AD48"")"),156147.72)</f>
        <v>156147.72</v>
      </c>
      <c r="O58" s="93">
        <f t="shared" ca="1" si="32"/>
        <v>23.949036809815951</v>
      </c>
      <c r="P58" s="93">
        <f t="shared" ca="1" si="33"/>
        <v>40.81013015524541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1608500</v>
      </c>
      <c r="M59" s="496">
        <f t="shared" ca="1" si="36"/>
        <v>1608500</v>
      </c>
      <c r="N59" s="496">
        <f t="shared" ca="1" si="36"/>
        <v>101000</v>
      </c>
      <c r="O59" s="496">
        <f t="shared" ca="1" si="32"/>
        <v>6.2791420578178423</v>
      </c>
      <c r="P59" s="496">
        <f t="shared" ca="1" si="33"/>
        <v>6.2791420578178423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IFERROR(__xludf.DUMMYFUNCTION("IMPORTRANGE(""https://docs.google.com/spreadsheets/d/1MeEWN-I1oV_STSDYn1IFDPWt_1FKiwhDph83XaGc0o0/edit?usp=sharing"",""งบพรบ!AC48"")"),1608500)</f>
        <v>1608500</v>
      </c>
      <c r="N61" s="52">
        <f ca="1">IFERROR(__xludf.DUMMYFUNCTION("IMPORTRANGE(""https://docs.google.com/spreadsheets/d/1MeEWN-I1oV_STSDYn1IFDPWt_1FKiwhDph83XaGc0o0/edit?usp=sharing"",""งบพรบ!AE48"")"),101000)</f>
        <v>101000</v>
      </c>
      <c r="O61" s="52">
        <f t="shared" ca="1" si="32"/>
        <v>6.2791420578178423</v>
      </c>
      <c r="P61" s="52">
        <f t="shared" ca="1" si="33"/>
        <v>6.2791420578178423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384000</v>
      </c>
      <c r="M66" s="155">
        <f t="shared" ca="1" si="39"/>
        <v>185000</v>
      </c>
      <c r="N66" s="155">
        <f t="shared" ca="1" si="39"/>
        <v>15480</v>
      </c>
      <c r="O66" s="155">
        <f t="shared" ref="O66:O74" ca="1" si="40">IF(L66&gt;0,N66*100/L66,0)</f>
        <v>4.03125</v>
      </c>
      <c r="P66" s="155">
        <f t="shared" ref="P66:P74" ca="1" si="41">IF(M66&gt;0,N66*100/M66,0)</f>
        <v>8.3675675675675674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384000</v>
      </c>
      <c r="M68" s="93">
        <f t="shared" ca="1" si="42"/>
        <v>185000</v>
      </c>
      <c r="N68" s="93">
        <f t="shared" ca="1" si="42"/>
        <v>15480</v>
      </c>
      <c r="O68" s="93">
        <f t="shared" ca="1" si="40"/>
        <v>4.03125</v>
      </c>
      <c r="P68" s="93">
        <f t="shared" ca="1" si="41"/>
        <v>8.3675675675675674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384000</v>
      </c>
      <c r="M69" s="496">
        <f t="shared" ca="1" si="43"/>
        <v>185000</v>
      </c>
      <c r="N69" s="496">
        <f t="shared" ca="1" si="43"/>
        <v>15480</v>
      </c>
      <c r="O69" s="496">
        <f t="shared" ca="1" si="40"/>
        <v>4.03125</v>
      </c>
      <c r="P69" s="496">
        <f t="shared" ca="1" si="41"/>
        <v>8.3675675675675674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IFERROR(__xludf.DUMMYFUNCTION("IMPORTRANGE(""https://docs.google.com/spreadsheets/d/1MeEWN-I1oV_STSDYn1IFDPWt_1FKiwhDph83XaGc0o0/edit?usp=sharing"",""งบพรบ!AL48"")"),185000)</f>
        <v>185000</v>
      </c>
      <c r="N71" s="93">
        <f ca="1">IFERROR(__xludf.DUMMYFUNCTION("IMPORTRANGE(""https://docs.google.com/spreadsheets/d/1MeEWN-I1oV_STSDYn1IFDPWt_1FKiwhDph83XaGc0o0/edit?usp=sharing"",""งบพรบ!AN48"")"),15480)</f>
        <v>15480</v>
      </c>
      <c r="O71" s="93">
        <f t="shared" ca="1" si="40"/>
        <v>4.03125</v>
      </c>
      <c r="P71" s="93">
        <f t="shared" ca="1" si="41"/>
        <v>8.3675675675675674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30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86040</v>
      </c>
      <c r="M88" s="155">
        <f t="shared" ca="1" si="49"/>
        <v>21840</v>
      </c>
      <c r="N88" s="155">
        <f t="shared" ca="1" si="49"/>
        <v>13340</v>
      </c>
      <c r="O88" s="155">
        <f t="shared" ref="O88:O96" ca="1" si="50">IF(L88&gt;0,N88*100/L88,0)</f>
        <v>15.504416550441656</v>
      </c>
      <c r="P88" s="155">
        <f t="shared" ref="P88:P96" ca="1" si="51">IF(M88&gt;0,N88*100/M88,0)</f>
        <v>61.08058608058608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86040</v>
      </c>
      <c r="M90" s="93">
        <f t="shared" ca="1" si="52"/>
        <v>21840</v>
      </c>
      <c r="N90" s="93">
        <f t="shared" ca="1" si="52"/>
        <v>13340</v>
      </c>
      <c r="O90" s="93">
        <f t="shared" ca="1" si="50"/>
        <v>15.504416550441656</v>
      </c>
      <c r="P90" s="93">
        <f t="shared" ca="1" si="51"/>
        <v>61.08058608058608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86040</v>
      </c>
      <c r="M91" s="496">
        <f t="shared" ca="1" si="53"/>
        <v>21840</v>
      </c>
      <c r="N91" s="496">
        <f t="shared" ca="1" si="53"/>
        <v>13340</v>
      </c>
      <c r="O91" s="496">
        <f t="shared" ca="1" si="50"/>
        <v>15.504416550441656</v>
      </c>
      <c r="P91" s="496">
        <f t="shared" ca="1" si="51"/>
        <v>61.08058608058608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IFERROR(__xludf.DUMMYFUNCTION("IMPORTRANGE(""https://docs.google.com/spreadsheets/d/1MeEWN-I1oV_STSDYn1IFDPWt_1FKiwhDph83XaGc0o0/edit?usp=sharing"",""งบพรบ!AV48"")"),21840)</f>
        <v>21840</v>
      </c>
      <c r="N93" s="93">
        <f ca="1">IFERROR(__xludf.DUMMYFUNCTION("IMPORTRANGE(""https://docs.google.com/spreadsheets/d/1MeEWN-I1oV_STSDYn1IFDPWt_1FKiwhDph83XaGc0o0/edit?usp=sharing"",""งบพรบ!AX48"")"),13340)</f>
        <v>13340</v>
      </c>
      <c r="O93" s="93">
        <f t="shared" ca="1" si="50"/>
        <v>15.504416550441656</v>
      </c>
      <c r="P93" s="93">
        <f t="shared" ca="1" si="51"/>
        <v>61.08058608058608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IFERROR(__xludf.DUMMYFUNCTION("IMPORTRANGE(""https://docs.google.com/spreadsheets/d/1QqKyyYR6Q21VydFLVH3TRQUabQu_ym0Zz7PgGX0-kHA/edit?usp=sharing"",""แผน!K48"")"),30)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IFERROR(__xludf.DUMMYFUNCTION("IMPORTRANGE(""https://docs.google.com/spreadsheets/d/1QqKyyYR6Q21VydFLVH3TRQUabQu_ym0Zz7PgGX0-kHA/edit?usp=sharing"",""แผน!L48"")"),10)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IFERROR(__xludf.DUMMYFUNCTION("IMPORTRANGE(""https://docs.google.com/spreadsheets/d/1QqKyyYR6Q21VydFLVH3TRQUabQu_ym0Zz7PgGX0-kHA/edit?usp=sharing"",""แผน!M48"")"),2)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IFERROR(__xludf.DUMMYFUNCTION("IMPORTRANGE(""https://docs.google.com/spreadsheets/d/1QqKyyYR6Q21VydFLVH3TRQUabQu_ym0Zz7PgGX0-kHA/edit?usp=sharing"",""แผน!N48"")"),30)</f>
        <v>30</v>
      </c>
      <c r="J102" s="214"/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IFERROR(__xludf.DUMMYFUNCTION("IMPORTRANGE(""https://docs.google.com/spreadsheets/d/1QqKyyYR6Q21VydFLVH3TRQUabQu_ym0Zz7PgGX0-kHA/edit?usp=sharing"",""แผน!O48"")"),10)</f>
        <v>10</v>
      </c>
      <c r="J103" s="214">
        <v>10</v>
      </c>
      <c r="K103" s="496">
        <f t="shared" ca="1" si="56"/>
        <v>100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IFERROR(__xludf.DUMMYFUNCTION("IMPORTRANGE(""https://docs.google.com/spreadsheets/d/1QqKyyYR6Q21VydFLVH3TRQUabQu_ym0Zz7PgGX0-kHA/edit?usp=sharing"",""แผน!O48"")"),10)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IFERROR(__xludf.DUMMYFUNCTION("IMPORTRANGE(""https://docs.google.com/spreadsheets/d/1QqKyyYR6Q21VydFLVH3TRQUabQu_ym0Zz7PgGX0-kHA/edit?usp=sharing"",""แผน!P48"")"),1)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IFERROR(__xludf.DUMMYFUNCTION("IMPORTRANGE(""https://docs.google.com/spreadsheets/d/1QqKyyYR6Q21VydFLVH3TRQUabQu_ym0Zz7PgGX0-kHA/edit?usp=sharing"",""แผน!P48"")"),1)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IFERROR(__xludf.DUMMYFUNCTION("IMPORTRANGE(""https://docs.google.com/spreadsheets/d/1QqKyyYR6Q21VydFLVH3TRQUabQu_ym0Zz7PgGX0-kHA/edit?usp=sharing"",""แผน!Q48"")"),1)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IFERROR(__xludf.DUMMYFUNCTION("IMPORTRANGE(""https://docs.google.com/spreadsheets/d/1QqKyyYR6Q21VydFLVH3TRQUabQu_ym0Zz7PgGX0-kHA/edit?usp=sharing"",""แผน!Q48"")"),1)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252000</v>
      </c>
      <c r="M119" s="155">
        <f t="shared" ca="1" si="60"/>
        <v>252000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99.99404761904762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252000</v>
      </c>
      <c r="M121" s="93">
        <f t="shared" ca="1" si="63"/>
        <v>252000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99.99404761904762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252000</v>
      </c>
      <c r="M125" s="496">
        <f t="shared" ca="1" si="65"/>
        <v>252000</v>
      </c>
      <c r="N125" s="496">
        <f t="shared" ca="1" si="65"/>
        <v>251985</v>
      </c>
      <c r="O125" s="496">
        <f t="shared" ca="1" si="61"/>
        <v>99.99404761904762</v>
      </c>
      <c r="P125" s="496">
        <f t="shared" ca="1" si="62"/>
        <v>99.99404761904762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IFERROR(__xludf.DUMMYFUNCTION("IMPORTRANGE(""https://docs.google.com/spreadsheets/d/1MeEWN-I1oV_STSDYn1IFDPWt_1FKiwhDph83XaGc0o0/edit?usp=sharing"",""งบพรบ!BG48"")"),252000)</f>
        <v>252000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99.99404761904762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IFERROR(__xludf.DUMMYFUNCTION("IMPORTRANGE(""https://docs.google.com/spreadsheets/d/1QqKyyYR6Q21VydFLVH3TRQUabQu_ym0Zz7PgGX0-kHA/edit?usp=sharing"",""แผน!U48"")"),0)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IFERROR(__xludf.DUMMYFUNCTION("IMPORTRANGE(""https://docs.google.com/spreadsheets/d/1QqKyyYR6Q21VydFLVH3TRQUabQu_ym0Zz7PgGX0-kHA/edit?usp=sharing"",""แผน!V48"")"),0)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IFERROR(__xludf.DUMMYFUNCTION("IMPORTRANGE(""https://docs.google.com/spreadsheets/d/1QqKyyYR6Q21VydFLVH3TRQUabQu_ym0Zz7PgGX0-kHA/edit?usp=sharing"",""แผน!W48"")"),0)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IFERROR(__xludf.DUMMYFUNCTION("IMPORTRANGE(""https://docs.google.com/spreadsheets/d/1QqKyyYR6Q21VydFLVH3TRQUabQu_ym0Zz7PgGX0-kHA/edit?usp=sharing"",""แผน!X48"")"),0)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23060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IFERROR(__xludf.DUMMYFUNCTION("IMPORTRANGE(""https://docs.google.com/spreadsheets/d/1MeEWN-I1oV_STSDYn1IFDPWt_1FKiwhDph83XaGc0o0/edit?usp=sharing"",""งบพรบ!CJ48"")"),23060)</f>
        <v>23060</v>
      </c>
      <c r="N170" s="93">
        <f ca="1">IFERROR(__xludf.DUMMYFUNCTION("IMPORTRANGE(""https://docs.google.com/spreadsheets/d/1MeEWN-I1oV_STSDYn1IFDPWt_1FKiwhDph83XaGc0o0/edit?usp=sharing"",""งบพรบ!CL48"")"),23060)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IFERROR(__xludf.DUMMYFUNCTION("IMPORTRANGE(""https://docs.google.com/spreadsheets/d/1QqKyyYR6Q21VydFLVH3TRQUabQu_ym0Zz7PgGX0-kHA/edit?usp=sharing"",""แผน!Y48"")"),12)</f>
        <v>12</v>
      </c>
      <c r="J176" s="214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413500</v>
      </c>
      <c r="M181" s="155">
        <f t="shared" ca="1" si="92"/>
        <v>215500</v>
      </c>
      <c r="N181" s="155">
        <f t="shared" ca="1" si="92"/>
        <v>79870.86</v>
      </c>
      <c r="O181" s="155">
        <f t="shared" ref="O181:O189" ca="1" si="93">IF(L181&gt;0,N181*100/L181,0)</f>
        <v>19.315806529625153</v>
      </c>
      <c r="P181" s="155">
        <f t="shared" ref="P181:P189" ca="1" si="94">IF(M181&gt;0,N181*100/M181,0)</f>
        <v>37.063044083526684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413500</v>
      </c>
      <c r="M183" s="93">
        <f t="shared" ca="1" si="95"/>
        <v>215500</v>
      </c>
      <c r="N183" s="93">
        <f t="shared" ca="1" si="95"/>
        <v>79870.86</v>
      </c>
      <c r="O183" s="93">
        <f t="shared" ca="1" si="93"/>
        <v>19.315806529625153</v>
      </c>
      <c r="P183" s="93">
        <f t="shared" ca="1" si="94"/>
        <v>37.063044083526684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413500</v>
      </c>
      <c r="M184" s="496">
        <f t="shared" ca="1" si="96"/>
        <v>215500</v>
      </c>
      <c r="N184" s="496">
        <f t="shared" ca="1" si="96"/>
        <v>79870.86</v>
      </c>
      <c r="O184" s="496">
        <f t="shared" ca="1" si="93"/>
        <v>19.315806529625153</v>
      </c>
      <c r="P184" s="496">
        <f t="shared" ca="1" si="94"/>
        <v>37.063044083526684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IFERROR(__xludf.DUMMYFUNCTION("IMPORTRANGE(""https://docs.google.com/spreadsheets/d/1MeEWN-I1oV_STSDYn1IFDPWt_1FKiwhDph83XaGc0o0/edit?usp=sharing"",""งบพรบ!CT48"")"),215500)</f>
        <v>215500</v>
      </c>
      <c r="N186" s="93">
        <f ca="1">IFERROR(__xludf.DUMMYFUNCTION("IMPORTRANGE(""https://docs.google.com/spreadsheets/d/1MeEWN-I1oV_STSDYn1IFDPWt_1FKiwhDph83XaGc0o0/edit?usp=sharing"",""งบพรบ!CV48"")"),79870.86)</f>
        <v>79870.86</v>
      </c>
      <c r="O186" s="93">
        <f t="shared" ca="1" si="93"/>
        <v>19.315806529625153</v>
      </c>
      <c r="P186" s="93">
        <f t="shared" ca="1" si="94"/>
        <v>37.063044083526684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IFERROR(__xludf.DUMMYFUNCTION("IMPORTRANGE(""https://docs.google.com/spreadsheets/d/1QqKyyYR6Q21VydFLVH3TRQUabQu_ym0Zz7PgGX0-kHA/edit?usp=sharing"",""แผน!AC48"")"),4)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3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IFERROR(__xludf.DUMMYFUNCTION("IMPORTRANGE(""https://docs.google.com/spreadsheets/d/1QqKyyYR6Q21VydFLVH3TRQUabQu_ym0Zz7PgGX0-kHA/edit?usp=sharing"",""แผน!AE48"")"),3000)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IFERROR(__xludf.DUMMYFUNCTION("IMPORTRANGE(""https://docs.google.com/spreadsheets/d/1QqKyyYR6Q21VydFLVH3TRQUabQu_ym0Zz7PgGX0-kHA/edit?usp=sharing"",""แผน!AF48"")"),24000)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IFERROR(__xludf.DUMMYFUNCTION("IMPORTRANGE(""https://docs.google.com/spreadsheets/d/1QqKyyYR6Q21VydFLVH3TRQUabQu_ym0Zz7PgGX0-kHA/edit?usp=sharing"",""แผน!AG48"")"),12000)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IFERROR(__xludf.DUMMYFUNCTION("IMPORTRANGE(""https://docs.google.com/spreadsheets/d/1QqKyyYR6Q21VydFLVH3TRQUabQu_ym0Zz7PgGX0-kHA/edit?usp=sharing"",""แผน!AH48"")"),0)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IFERROR(__xludf.DUMMYFUNCTION("IMPORTRANGE(""https://docs.google.com/spreadsheets/d/1QqKyyYR6Q21VydFLVH3TRQUabQu_ym0Zz7PgGX0-kHA/edit?usp=sharing"",""แผน!AI48"")"),3)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3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42000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IFERROR(__xludf.DUMMYFUNCTION("IMPORTRANGE(""https://docs.google.com/spreadsheets/d/1QqKyyYR6Q21VydFLVH3TRQUabQu_ym0Zz7PgGX0-kHA/edit?usp=sharing"",""แผน!AK48"")"),3000)</f>
        <v>3000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IFERROR(__xludf.DUMMYFUNCTION("IMPORTRANGE(""https://docs.google.com/spreadsheets/d/1QqKyyYR6Q21VydFLVH3TRQUabQu_ym0Zz7PgGX0-kHA/edit?usp=sharing"",""แผน!AL48"")"),15000)</f>
        <v>15000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IFERROR(__xludf.DUMMYFUNCTION("IMPORTRANGE(""https://docs.google.com/spreadsheets/d/1QqKyyYR6Q21VydFLVH3TRQUabQu_ym0Zz7PgGX0-kHA/edit?usp=sharing"",""แผน!AM48"")"),24000)</f>
        <v>24000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IFERROR(__xludf.DUMMYFUNCTION("IMPORTRANGE(""https://docs.google.com/spreadsheets/d/1QqKyyYR6Q21VydFLVH3TRQUabQu_ym0Zz7PgGX0-kHA/edit?usp=sharing"",""แผน!AN48"")"),3)</f>
        <v>3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IFERROR(__xludf.DUMMYFUNCTION("IMPORTRANGE(""https://docs.google.com/spreadsheets/d/1QqKyyYR6Q21VydFLVH3TRQUabQu_ym0Zz7PgGX0-kHA/edit?usp=sharing"",""แผน!AN48"")"),3)</f>
        <v>3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10000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IFERROR(__xludf.DUMMYFUNCTION("IMPORTRANGE(""https://docs.google.com/spreadsheets/d/1QqKyyYR6Q21VydFLVH3TRQUabQu_ym0Zz7PgGX0-kHA/edit?usp=sharing"",""แผน!AP48"")"),3000)</f>
        <v>3000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IFERROR(__xludf.DUMMYFUNCTION("IMPORTRANGE(""https://docs.google.com/spreadsheets/d/1QqKyyYR6Q21VydFLVH3TRQUabQu_ym0Zz7PgGX0-kHA/edit?usp=sharing"",""แผน!AQ48"")"),3500)</f>
        <v>3500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IFERROR(__xludf.DUMMYFUNCTION("IMPORTRANGE(""https://docs.google.com/spreadsheets/d/1QqKyyYR6Q21VydFLVH3TRQUabQu_ym0Zz7PgGX0-kHA/edit?usp=sharing"",""แผน!AR48"")"),10000)</f>
        <v>10000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IFERROR(__xludf.DUMMYFUNCTION("IMPORTRANGE(""https://docs.google.com/spreadsheets/d/1QqKyyYR6Q21VydFLVH3TRQUabQu_ym0Zz7PgGX0-kHA/edit?usp=sharing"",""แผน!AT48"")"),10000)</f>
        <v>10000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IFERROR(__xludf.DUMMYFUNCTION("IMPORTRANGE(""https://docs.google.com/spreadsheets/d/1QqKyyYR6Q21VydFLVH3TRQUabQu_ym0Zz7PgGX0-kHA/edit?usp=sharing"",""แผน!AT48"")"),10000)</f>
        <v>10000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IFERROR(__xludf.DUMMYFUNCTION("IMPORTRANGE(""https://docs.google.com/spreadsheets/d/1QqKyyYR6Q21VydFLVH3TRQUabQu_ym0Zz7PgGX0-kHA/edit?usp=sharing"",""แผน!AS48"")"),10)</f>
        <v>10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IFERROR(__xludf.DUMMYFUNCTION("IMPORTRANGE(""https://docs.google.com/spreadsheets/d/1QqKyyYR6Q21VydFLVH3TRQUabQu_ym0Zz7PgGX0-kHA/edit?usp=sharing"",""แผน!AV48"")"),0)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IFERROR(__xludf.DUMMYFUNCTION("IMPORTRANGE(""https://docs.google.com/spreadsheets/d/1QqKyyYR6Q21VydFLVH3TRQUabQu_ym0Zz7PgGX0-kHA/edit?usp=sharing"",""แผน!AW48"")"),0)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IFERROR(__xludf.DUMMYFUNCTION("IMPORTRANGE(""https://docs.google.com/spreadsheets/d/1QqKyyYR6Q21VydFLVH3TRQUabQu_ym0Zz7PgGX0-kHA/edit?usp=sharing"",""แผน!AX48"")"),0)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IFERROR(__xludf.DUMMYFUNCTION("IMPORTRANGE(""https://docs.google.com/spreadsheets/d/1QqKyyYR6Q21VydFLVH3TRQUabQu_ym0Zz7PgGX0-kHA/edit?usp=sharing"",""แผน!AY48"")"),0)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IFERROR(__xludf.DUMMYFUNCTION("IMPORTRANGE(""https://docs.google.com/spreadsheets/d/1QqKyyYR6Q21VydFLVH3TRQUabQu_ym0Zz7PgGX0-kHA/edit?usp=sharing"",""แผน!BE48"")"),0)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IFERROR(__xludf.DUMMYFUNCTION("IMPORTRANGE(""https://docs.google.com/spreadsheets/d/1QqKyyYR6Q21VydFLVH3TRQUabQu_ym0Zz7PgGX0-kHA/edit?usp=sharing"",""แผน!AZ48"")"),0)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IFERROR(__xludf.DUMMYFUNCTION("IMPORTRANGE(""https://docs.google.com/spreadsheets/d/1QqKyyYR6Q21VydFLVH3TRQUabQu_ym0Zz7PgGX0-kHA/edit?usp=sharing"",""แผน!BA48"")"),0)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IFERROR(__xludf.DUMMYFUNCTION("IMPORTRANGE(""https://docs.google.com/spreadsheets/d/1QqKyyYR6Q21VydFLVH3TRQUabQu_ym0Zz7PgGX0-kHA/edit?usp=sharing"",""แผน!BB48"")"),0)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IFERROR(__xludf.DUMMYFUNCTION("IMPORTRANGE(""https://docs.google.com/spreadsheets/d/1QqKyyYR6Q21VydFLVH3TRQUabQu_ym0Zz7PgGX0-kHA/edit?usp=sharing"",""แผน!BC48"")"),0)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IFERROR(__xludf.DUMMYFUNCTION("IMPORTRANGE(""https://docs.google.com/spreadsheets/d/1QqKyyYR6Q21VydFLVH3TRQUabQu_ym0Zz7PgGX0-kHA/edit?usp=sharing"",""แผน!BF48"")"),0)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22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26900</v>
      </c>
      <c r="M264" s="496">
        <f t="shared" ca="1" si="120"/>
        <v>23900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IFERROR(__xludf.DUMMYFUNCTION("IMPORTRANGE(""https://docs.google.com/spreadsheets/d/1MeEWN-I1oV_STSDYn1IFDPWt_1FKiwhDph83XaGc0o0/edit?usp=sharing"",""งบพรบ!DD48"")"),23900)</f>
        <v>23900</v>
      </c>
      <c r="N266" s="93">
        <f ca="1">IFERROR(__xludf.DUMMYFUNCTION("IMPORTRANGE(""https://docs.google.com/spreadsheets/d/1MeEWN-I1oV_STSDYn1IFDPWt_1FKiwhDph83XaGc0o0/edit?usp=sharing"",""งบพรบ!DF48"")"),0)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IFERROR(__xludf.DUMMYFUNCTION("IMPORTRANGE(""https://docs.google.com/spreadsheets/d/1QqKyyYR6Q21VydFLVH3TRQUabQu_ym0Zz7PgGX0-kHA/edit?usp=sharing"",""แผน!EA48"")"),22)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30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24">I287</f>
        <v>300</v>
      </c>
      <c r="J276" s="405">
        <f t="shared" si="124"/>
        <v>0</v>
      </c>
      <c r="K276" s="406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111710</v>
      </c>
      <c r="M277" s="155">
        <f t="shared" ca="1" si="125"/>
        <v>46460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111710</v>
      </c>
      <c r="M279" s="93">
        <f t="shared" ca="1" si="128"/>
        <v>46460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111710</v>
      </c>
      <c r="M280" s="496">
        <f t="shared" ca="1" si="129"/>
        <v>46460</v>
      </c>
      <c r="N280" s="496">
        <f t="shared" ca="1" si="129"/>
        <v>0</v>
      </c>
      <c r="O280" s="496">
        <f t="shared" ca="1" si="126"/>
        <v>0</v>
      </c>
      <c r="P280" s="496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IFERROR(__xludf.DUMMYFUNCTION("IMPORTRANGE(""https://docs.google.com/spreadsheets/d/1MeEWN-I1oV_STSDYn1IFDPWt_1FKiwhDph83XaGc0o0/edit?usp=sharing"",""งบพรบ!DN48"")"),46460)</f>
        <v>46460</v>
      </c>
      <c r="N282" s="93">
        <f ca="1">IFERROR(__xludf.DUMMYFUNCTION("IMPORTRANGE(""https://docs.google.com/spreadsheets/d/1MeEWN-I1oV_STSDYn1IFDPWt_1FKiwhDph83XaGc0o0/edit?usp=sharing"",""งบพรบ!DP48"")"),0)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IFERROR(__xludf.DUMMYFUNCTION("IMPORTRANGE(""https://docs.google.com/spreadsheets/d/1QqKyyYR6Q21VydFLVH3TRQUabQu_ym0Zz7PgGX0-kHA/edit?usp=sharing"",""แผน!EC48"")"),300)</f>
        <v>300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IFERROR(__xludf.DUMMYFUNCTION("IMPORTRANGE(""https://docs.google.com/spreadsheets/d/1QqKyyYR6Q21VydFLVH3TRQUabQu_ym0Zz7PgGX0-kHA/edit?usp=sharing"",""แผน!EB48"")"),30)</f>
        <v>30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IFERROR(__xludf.DUMMYFUNCTION("IMPORTRANGE(""https://docs.google.com/spreadsheets/d/1QqKyyYR6Q21VydFLVH3TRQUabQu_ym0Zz7PgGX0-kHA/edit?usp=sharing"",""แผน!EB48"")"),30)</f>
        <v>30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0</v>
      </c>
      <c r="M301" s="496">
        <f t="shared" ca="1" si="139"/>
        <v>0</v>
      </c>
      <c r="N301" s="496">
        <f t="shared" ca="1" si="139"/>
        <v>0</v>
      </c>
      <c r="O301" s="496">
        <f t="shared" ca="1" si="136"/>
        <v>0</v>
      </c>
      <c r="P301" s="496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IFERROR(__xludf.DUMMYFUNCTION("IMPORTRANGE(""https://docs.google.com/spreadsheets/d/1QqKyyYR6Q21VydFLVH3TRQUabQu_ym0Zz7PgGX0-kHA/edit?usp=sharing"",""แผน!ED48"")"),0)</f>
        <v>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IFERROR(__xludf.DUMMYFUNCTION("IMPORTRANGE(""https://docs.google.com/spreadsheets/d/1QqKyyYR6Q21VydFLVH3TRQUabQu_ym0Zz7PgGX0-kHA/edit?usp=sharing"",""แผน!ED48"")"),0)</f>
        <v>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IFERROR(__xludf.DUMMYFUNCTION("IMPORTRANGE(""https://docs.google.com/spreadsheets/d/1QqKyyYR6Q21VydFLVH3TRQUabQu_ym0Zz7PgGX0-kHA/edit?usp=sharing"",""แผน!ED48"")"),0)</f>
        <v>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IFERROR(__xludf.DUMMYFUNCTION("IMPORTRANGE(""https://docs.google.com/spreadsheets/d/1QqKyyYR6Q21VydFLVH3TRQUabQu_ym0Zz7PgGX0-kHA/edit?usp=sharing"",""แผน!EE48"")"),0)</f>
        <v>0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IFERROR(__xludf.DUMMYFUNCTION("IMPORTRANGE(""https://docs.google.com/spreadsheets/d/1QqKyyYR6Q21VydFLVH3TRQUabQu_ym0Zz7PgGX0-kHA/edit?usp=sharing"",""แผน!EF48"")"),0)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IFERROR(__xludf.DUMMYFUNCTION("IMPORTRANGE(""https://docs.google.com/spreadsheets/d/1QqKyyYR6Q21VydFLVH3TRQUabQu_ym0Zz7PgGX0-kHA/edit?usp=sharing"",""แผน!EG48"")"),4600)</f>
        <v>4600</v>
      </c>
      <c r="J327" s="443">
        <f ca="1">J338+J341+J342+J343</f>
        <v>844</v>
      </c>
      <c r="K327" s="444">
        <f ca="1">IF(I327&gt;0,J327*100/I327,0)</f>
        <v>18.347826086956523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175000</v>
      </c>
      <c r="M328" s="155">
        <f t="shared" ca="1" si="149"/>
        <v>87500</v>
      </c>
      <c r="N328" s="155">
        <f t="shared" ca="1" si="149"/>
        <v>12000</v>
      </c>
      <c r="O328" s="155">
        <f t="shared" ref="O328:O336" ca="1" si="150">IF(L328&gt;0,N328*100/L328,0)</f>
        <v>6.8571428571428568</v>
      </c>
      <c r="P328" s="155">
        <f t="shared" ref="P328:P336" ca="1" si="151">IF(M328&gt;0,N328*100/M328,0)</f>
        <v>13.714285714285714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175000</v>
      </c>
      <c r="M330" s="93">
        <f t="shared" ca="1" si="152"/>
        <v>87500</v>
      </c>
      <c r="N330" s="93">
        <f t="shared" ca="1" si="152"/>
        <v>12000</v>
      </c>
      <c r="O330" s="93">
        <f t="shared" ca="1" si="150"/>
        <v>6.8571428571428568</v>
      </c>
      <c r="P330" s="93">
        <f t="shared" ca="1" si="151"/>
        <v>13.714285714285714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175000</v>
      </c>
      <c r="M331" s="496">
        <f t="shared" ca="1" si="153"/>
        <v>87500</v>
      </c>
      <c r="N331" s="496">
        <f t="shared" ca="1" si="153"/>
        <v>12000</v>
      </c>
      <c r="O331" s="496">
        <f t="shared" ca="1" si="150"/>
        <v>6.8571428571428568</v>
      </c>
      <c r="P331" s="496">
        <f t="shared" ca="1" si="151"/>
        <v>13.714285714285714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IFERROR(__xludf.DUMMYFUNCTION("IMPORTRANGE(""https://docs.google.com/spreadsheets/d/1MeEWN-I1oV_STSDYn1IFDPWt_1FKiwhDph83XaGc0o0/edit?usp=sharing"",""งบพรบ!ER48"")"),87500)</f>
        <v>87500</v>
      </c>
      <c r="N333" s="93">
        <f ca="1">IFERROR(__xludf.DUMMYFUNCTION("IMPORTRANGE(""https://docs.google.com/spreadsheets/d/1MeEWN-I1oV_STSDYn1IFDPWt_1FKiwhDph83XaGc0o0/edit?usp=sharing"",""งบพรบ!ET48"")"),12000)</f>
        <v>12000</v>
      </c>
      <c r="O333" s="93">
        <f t="shared" ca="1" si="150"/>
        <v>6.8571428571428568</v>
      </c>
      <c r="P333" s="93">
        <f t="shared" ca="1" si="151"/>
        <v>13.714285714285714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IFERROR(__xludf.DUMMYFUNCTION("IMPORTRANGE(""https://docs.google.com/spreadsheets/d/1QqKyyYR6Q21VydFLVH3TRQUabQu_ym0Zz7PgGX0-kHA/edit?usp=sharing"",""แผน!EG48"")"),4600)</f>
        <v>4600</v>
      </c>
      <c r="J338" s="269">
        <f ca="1">IFERROR(__xludf.DUMMYFUNCTION("IMPORTRANGE(""https://docs.google.com/spreadsheets/d/1kVcqe37tkHyjCSG3S0O1AXqVkqjo8mSIZil3BcpIysc/edit?usp=sharing"",""ศูนย์!D48"")"),772)</f>
        <v>772</v>
      </c>
      <c r="K338" s="496">
        <f ca="1">IF(I338&gt;0,J338*100/I338,0)</f>
        <v>16.782608695652176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IFERROR(__xludf.DUMMYFUNCTION("IMPORTRANGE(""https://docs.google.com/spreadsheets/d/1QqKyyYR6Q21VydFLVH3TRQUabQu_ym0Zz7PgGX0-kHA/edit?usp=sharing"",""แผน!EH48"")"),6)</f>
        <v>6</v>
      </c>
      <c r="J340" s="269">
        <f ca="1">IFERROR(__xludf.DUMMYFUNCTION("IMPORTRANGE(""https://docs.google.com/spreadsheets/d/1kVcqe37tkHyjCSG3S0O1AXqVkqjo8mSIZil3BcpIysc/edit?usp=sharing"",""ศูนย์!E48"")"),1)</f>
        <v>1</v>
      </c>
      <c r="K340" s="496">
        <f ca="1">IF(I340&gt;0,J340*100/I340,0)</f>
        <v>16.666666666666668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IFERROR(__xludf.DUMMYFUNCTION("IMPORTRANGE(""https://docs.google.com/spreadsheets/d/1kVcqe37tkHyjCSG3S0O1AXqVkqjo8mSIZil3BcpIysc/edit?usp=sharing"",""ศูนย์!F48"")"),72)</f>
        <v>72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IFERROR(__xludf.DUMMYFUNCTION("IMPORTRANGE(""https://docs.google.com/spreadsheets/d/1kVcqe37tkHyjCSG3S0O1AXqVkqjo8mSIZil3BcpIysc/edit?usp=sharing"",""ศูนย์!G48"")"),0)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IFERROR(__xludf.DUMMYFUNCTION("IMPORTRANGE(""https://docs.google.com/spreadsheets/d/1kVcqe37tkHyjCSG3S0O1AXqVkqjo8mSIZil3BcpIysc/edit?usp=sharing"",""ศูนย์!H48"")"),0)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1121060</v>
      </c>
      <c r="M345" s="155">
        <f t="shared" ca="1" si="155"/>
        <v>590530</v>
      </c>
      <c r="N345" s="155">
        <f t="shared" ca="1" si="155"/>
        <v>227543.32</v>
      </c>
      <c r="O345" s="155">
        <f t="shared" ref="O345:O353" ca="1" si="156">IF(L345&gt;0,N345*100/L345,0)</f>
        <v>20.297158046848519</v>
      </c>
      <c r="P345" s="155">
        <f t="shared" ref="P345:P353" ca="1" si="157">IF(M345&gt;0,N345*100/M345,0)</f>
        <v>38.532050869557857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1121060</v>
      </c>
      <c r="M347" s="93">
        <f t="shared" ca="1" si="158"/>
        <v>590530</v>
      </c>
      <c r="N347" s="93">
        <f t="shared" ca="1" si="158"/>
        <v>227543.32</v>
      </c>
      <c r="O347" s="93">
        <f t="shared" ca="1" si="156"/>
        <v>20.297158046848519</v>
      </c>
      <c r="P347" s="93">
        <f t="shared" ca="1" si="157"/>
        <v>38.532050869557857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1061060</v>
      </c>
      <c r="M348" s="496">
        <f t="shared" ca="1" si="159"/>
        <v>530530</v>
      </c>
      <c r="N348" s="496">
        <f t="shared" ca="1" si="159"/>
        <v>167543.32</v>
      </c>
      <c r="O348" s="496">
        <f t="shared" ca="1" si="156"/>
        <v>15.790183401504157</v>
      </c>
      <c r="P348" s="496">
        <f t="shared" ca="1" si="157"/>
        <v>31.580366803008314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IFERROR(__xludf.DUMMYFUNCTION("IMPORTRANGE(""https://docs.google.com/spreadsheets/d/1MeEWN-I1oV_STSDYn1IFDPWt_1FKiwhDph83XaGc0o0/edit?usp=sharing"",""งบพรบ!FB48"")"),530530)</f>
        <v>530530</v>
      </c>
      <c r="N350" s="93">
        <f ca="1">IFERROR(__xludf.DUMMYFUNCTION("IMPORTRANGE(""https://docs.google.com/spreadsheets/d/1MeEWN-I1oV_STSDYn1IFDPWt_1FKiwhDph83XaGc0o0/edit?usp=sharing"",""งบพรบ!FD48"")"),167543.32)</f>
        <v>167543.32</v>
      </c>
      <c r="O350" s="93">
        <f t="shared" ca="1" si="156"/>
        <v>15.790183401504157</v>
      </c>
      <c r="P350" s="93">
        <f t="shared" ca="1" si="157"/>
        <v>31.580366803008314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60000</v>
      </c>
      <c r="M351" s="496">
        <f t="shared" ca="1" si="160"/>
        <v>60000</v>
      </c>
      <c r="N351" s="496">
        <f t="shared" ca="1" si="160"/>
        <v>60000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IFERROR(__xludf.DUMMYFUNCTION("IMPORTRANGE(""https://docs.google.com/spreadsheets/d/1QqKyyYR6Q21VydFLVH3TRQUabQu_ym0Zz7PgGX0-kHA/edit?usp=sharing"",""แผน!EP48"")"),440)</f>
        <v>440</v>
      </c>
      <c r="J355" s="463">
        <f ca="1">J362</f>
        <v>8</v>
      </c>
      <c r="K355" s="464">
        <f ca="1">IF(I355&gt;0,J355*100/I355,0)</f>
        <v>1.8181818181818181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IFERROR(__xludf.DUMMYFUNCTION("IMPORTRANGE(""https://docs.google.com/spreadsheets/d/1XWAQStnk-4SwqDmLtmXYiTMKHgktTP8We1SCoS47DrQ/edit?usp=sharing"",""จัดที่ดิน!W48"")"),31)</f>
        <v>31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IFERROR(__xludf.DUMMYFUNCTION("IMPORTRANGE(""https://docs.google.com/spreadsheets/d/1QqKyyYR6Q21VydFLVH3TRQUabQu_ym0Zz7PgGX0-kHA/edit?usp=sharing"",""แผน!EO48"")"),4500)</f>
        <v>4500</v>
      </c>
      <c r="J359" s="269">
        <f ca="1">IFERROR(__xludf.DUMMYFUNCTION("IMPORTRANGE(""https://docs.google.com/spreadsheets/d/1XWAQStnk-4SwqDmLtmXYiTMKHgktTP8We1SCoS47DrQ/edit?usp=sharing"",""จัดที่ดิน!X48"")"),272.11)</f>
        <v>272.11</v>
      </c>
      <c r="K359" s="496">
        <f t="shared" ca="1" si="161"/>
        <v>6.0468888888888888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IFERROR(__xludf.DUMMYFUNCTION("IMPORTRANGE(""https://docs.google.com/spreadsheets/d/1QqKyyYR6Q21VydFLVH3TRQUabQu_ym0Zz7PgGX0-kHA/edit?usp=sharing"",""แผน!EP48"")"),440)</f>
        <v>440</v>
      </c>
      <c r="J360" s="269">
        <f ca="1">IFERROR(__xludf.DUMMYFUNCTION("IMPORTRANGE(""https://docs.google.com/spreadsheets/d/1XWAQStnk-4SwqDmLtmXYiTMKHgktTP8We1SCoS47DrQ/edit?usp=sharing"",""จัดที่ดิน!Y48"")"),8)</f>
        <v>8</v>
      </c>
      <c r="K360" s="496">
        <f t="shared" ca="1" si="161"/>
        <v>1.8181818181818181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IFERROR(__xludf.DUMMYFUNCTION("IMPORTRANGE(""https://docs.google.com/spreadsheets/d/1XWAQStnk-4SwqDmLtmXYiTMKHgktTP8We1SCoS47DrQ/edit?usp=sharing"",""จัดที่ดิน!Z48"")"),78.37)</f>
        <v>78.37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IFERROR(__xludf.DUMMYFUNCTION("IMPORTRANGE(""https://docs.google.com/spreadsheets/d/1QqKyyYR6Q21VydFLVH3TRQUabQu_ym0Zz7PgGX0-kHA/edit?usp=sharing"",""แผน!EP48"")"),440)</f>
        <v>440</v>
      </c>
      <c r="J362" s="269">
        <f ca="1">IFERROR(__xludf.DUMMYFUNCTION("IMPORTRANGE(""https://docs.google.com/spreadsheets/d/1XWAQStnk-4SwqDmLtmXYiTMKHgktTP8We1SCoS47DrQ/edit?usp=sharing"",""จัดที่ดิน!AA48"")"),8)</f>
        <v>8</v>
      </c>
      <c r="K362" s="496">
        <f t="shared" ca="1" si="161"/>
        <v>1.8181818181818181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IFERROR(__xludf.DUMMYFUNCTION("IMPORTRANGE(""https://docs.google.com/spreadsheets/d/1XWAQStnk-4SwqDmLtmXYiTMKHgktTP8We1SCoS47DrQ/edit?usp=sharing"",""จัดที่ดิน!AB48"")"),78.37)</f>
        <v>78.37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560</v>
      </c>
      <c r="J364" s="477">
        <f t="shared" ca="1" si="162"/>
        <v>13</v>
      </c>
      <c r="K364" s="478">
        <f t="shared" ca="1" si="161"/>
        <v>2.3214285714285716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IFERROR(__xludf.DUMMYFUNCTION("IMPORTRANGE(""https://docs.google.com/spreadsheets/d/1QqKyyYR6Q21VydFLVH3TRQUabQu_ym0Zz7PgGX0-kHA/edit?usp=sharing"",""แผน!EJ48"")"),40)</f>
        <v>40</v>
      </c>
      <c r="J365" s="489">
        <f ca="1">J372</f>
        <v>2</v>
      </c>
      <c r="K365" s="490">
        <f t="shared" ca="1" si="161"/>
        <v>5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IFERROR(__xludf.DUMMYFUNCTION("IMPORTRANGE(""https://docs.google.com/spreadsheets/d/1XWAQStnk-4SwqDmLtmXYiTMKHgktTP8We1SCoS47DrQ/edit?usp=sharing"",""จัดที่ดิน!E48"")"),25)</f>
        <v>25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IFERROR(__xludf.DUMMYFUNCTION("IMPORTRANGE(""https://docs.google.com/spreadsheets/d/1QqKyyYR6Q21VydFLVH3TRQUabQu_ym0Zz7PgGX0-kHA/edit?usp=sharing"",""แผน!EI48"")"),500)</f>
        <v>500</v>
      </c>
      <c r="J369" s="269">
        <f ca="1">IFERROR(__xludf.DUMMYFUNCTION("IMPORTRANGE(""https://docs.google.com/spreadsheets/d/1XWAQStnk-4SwqDmLtmXYiTMKHgktTP8We1SCoS47DrQ/edit?usp=sharing"",""จัดที่ดิน!F48"")"),202.33)</f>
        <v>202.33</v>
      </c>
      <c r="K369" s="496">
        <f t="shared" ca="1" si="163"/>
        <v>40.466000000000001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IFERROR(__xludf.DUMMYFUNCTION("IMPORTRANGE(""https://docs.google.com/spreadsheets/d/1QqKyyYR6Q21VydFLVH3TRQUabQu_ym0Zz7PgGX0-kHA/edit?usp=sharing"",""แผน!EJ48"")"),40)</f>
        <v>40</v>
      </c>
      <c r="J370" s="269">
        <f ca="1">IFERROR(__xludf.DUMMYFUNCTION("IMPORTRANGE(""https://docs.google.com/spreadsheets/d/1XWAQStnk-4SwqDmLtmXYiTMKHgktTP8We1SCoS47DrQ/edit?usp=sharing"",""จัดที่ดิน!G48"")"),2)</f>
        <v>2</v>
      </c>
      <c r="K370" s="496">
        <f t="shared" ca="1" si="163"/>
        <v>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IFERROR(__xludf.DUMMYFUNCTION("IMPORTRANGE(""https://docs.google.com/spreadsheets/d/1XWAQStnk-4SwqDmLtmXYiTMKHgktTP8We1SCoS47DrQ/edit?usp=sharing"",""จัดที่ดิน!H48"")"),8.59)</f>
        <v>8.59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IFERROR(__xludf.DUMMYFUNCTION("IMPORTRANGE(""https://docs.google.com/spreadsheets/d/1QqKyyYR6Q21VydFLVH3TRQUabQu_ym0Zz7PgGX0-kHA/edit?usp=sharing"",""แผน!EJ48"")"),40)</f>
        <v>40</v>
      </c>
      <c r="J372" s="269">
        <f ca="1">IFERROR(__xludf.DUMMYFUNCTION("IMPORTRANGE(""https://docs.google.com/spreadsheets/d/1XWAQStnk-4SwqDmLtmXYiTMKHgktTP8We1SCoS47DrQ/edit?usp=sharing"",""จัดที่ดิน!I48"")"),2)</f>
        <v>2</v>
      </c>
      <c r="K372" s="496">
        <f t="shared" ca="1" si="163"/>
        <v>5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IFERROR(__xludf.DUMMYFUNCTION("IMPORTRANGE(""https://docs.google.com/spreadsheets/d/1XWAQStnk-4SwqDmLtmXYiTMKHgktTP8We1SCoS47DrQ/edit?usp=sharing"",""จัดที่ดิน!J48"")"),8.59)</f>
        <v>8.59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IFERROR(__xludf.DUMMYFUNCTION("IMPORTRANGE(""https://docs.google.com/spreadsheets/d/1QqKyyYR6Q21VydFLVH3TRQUabQu_ym0Zz7PgGX0-kHA/edit?usp=sharing"",""แผน!EU48"")"),520)</f>
        <v>520</v>
      </c>
      <c r="J374" s="489">
        <f ca="1">J381</f>
        <v>11</v>
      </c>
      <c r="K374" s="490">
        <f t="shared" ca="1" si="163"/>
        <v>2.1153846153846154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IFERROR(__xludf.DUMMYFUNCTION("IMPORTRANGE(""https://docs.google.com/spreadsheets/d/1XWAQStnk-4SwqDmLtmXYiTMKHgktTP8We1SCoS47DrQ/edit?usp=sharing"",""จัดที่ดิน!AH48"")"),6)</f>
        <v>6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IFERROR(__xludf.DUMMYFUNCTION("IMPORTRANGE(""https://docs.google.com/spreadsheets/d/1QqKyyYR6Q21VydFLVH3TRQUabQu_ym0Zz7PgGX0-kHA/edit?usp=sharing"",""แผน!ET48"")"),4000)</f>
        <v>4000</v>
      </c>
      <c r="J378" s="269">
        <f ca="1">IFERROR(__xludf.DUMMYFUNCTION("IMPORTRANGE(""https://docs.google.com/spreadsheets/d/1XWAQStnk-4SwqDmLtmXYiTMKHgktTP8We1SCoS47DrQ/edit?usp=sharing"",""จัดที่ดิน!AI48"")"),69.78)</f>
        <v>69.78</v>
      </c>
      <c r="K378" s="496">
        <f t="shared" ca="1" si="164"/>
        <v>1.7444999999999999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IFERROR(__xludf.DUMMYFUNCTION("IMPORTRANGE(""https://docs.google.com/spreadsheets/d/1QqKyyYR6Q21VydFLVH3TRQUabQu_ym0Zz7PgGX0-kHA/edit?usp=sharing"",""แผน!EU48"")"),520)</f>
        <v>520</v>
      </c>
      <c r="J379" s="269">
        <f ca="1">IFERROR(__xludf.DUMMYFUNCTION("IMPORTRANGE(""https://docs.google.com/spreadsheets/d/1XWAQStnk-4SwqDmLtmXYiTMKHgktTP8We1SCoS47DrQ/edit?usp=sharing"",""จัดที่ดิน!AJ48"")"),11)</f>
        <v>11</v>
      </c>
      <c r="K379" s="496">
        <f t="shared" ca="1" si="164"/>
        <v>2.1153846153846154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IFERROR(__xludf.DUMMYFUNCTION("IMPORTRANGE(""https://docs.google.com/spreadsheets/d/1XWAQStnk-4SwqDmLtmXYiTMKHgktTP8We1SCoS47DrQ/edit?usp=sharing"",""จัดที่ดิน!AK48"")"),142.44)</f>
        <v>142.44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IFERROR(__xludf.DUMMYFUNCTION("IMPORTRANGE(""https://docs.google.com/spreadsheets/d/1QqKyyYR6Q21VydFLVH3TRQUabQu_ym0Zz7PgGX0-kHA/edit?usp=sharing"",""แผน!EU48"")"),520)</f>
        <v>520</v>
      </c>
      <c r="J381" s="269">
        <f ca="1">IFERROR(__xludf.DUMMYFUNCTION("IMPORTRANGE(""https://docs.google.com/spreadsheets/d/1XWAQStnk-4SwqDmLtmXYiTMKHgktTP8We1SCoS47DrQ/edit?usp=sharing"",""จัดที่ดิน!AL48"")"),11)</f>
        <v>11</v>
      </c>
      <c r="K381" s="496">
        <f t="shared" ca="1" si="164"/>
        <v>2.1153846153846154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IFERROR(__xludf.DUMMYFUNCTION("IMPORTRANGE(""https://docs.google.com/spreadsheets/d/1XWAQStnk-4SwqDmLtmXYiTMKHgktTP8We1SCoS47DrQ/edit?usp=sharing"",""จัดที่ดิน!AM48"")"),142.44)</f>
        <v>142.44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IFERROR(__xludf.DUMMYFUNCTION("IMPORTRANGE(""https://docs.google.com/spreadsheets/d/1QqKyyYR6Q21VydFLVH3TRQUabQu_ym0Zz7PgGX0-kHA/edit?usp=sharing"",""แผน!EW48"")"),30)</f>
        <v>30</v>
      </c>
      <c r="J385" s="499">
        <f ca="1">IFERROR(__xludf.DUMMYFUNCTION("IMPORTRANGE(""https://docs.google.com/spreadsheets/d/1XWAQStnk-4SwqDmLtmXYiTMKHgktTP8We1SCoS47DrQ/edit?usp=sharing"",""จัดที่ดิน!AP48"")"),0)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2826840</v>
      </c>
      <c r="M414" s="547">
        <f t="shared" si="181"/>
        <v>0</v>
      </c>
      <c r="N414" s="547">
        <f t="shared" si="181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20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78660</v>
      </c>
      <c r="M422" s="496">
        <f t="shared" si="188"/>
        <v>0</v>
      </c>
      <c r="N422" s="496">
        <f t="shared" si="188"/>
        <v>0</v>
      </c>
      <c r="O422" s="496">
        <f t="shared" ca="1" si="185"/>
        <v>0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IFERROR(__xludf.DUMMYFUNCTION("IMPORTRANGE(""https://docs.google.com/spreadsheets/d/1QqKyyYR6Q21VydFLVH3TRQUabQu_ym0Zz7PgGX0-kHA/edit?usp=sharing"",""แผน!FC48"")"),20)</f>
        <v>20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IFERROR(__xludf.DUMMYFUNCTION("IMPORTRANGE(""https://docs.google.com/spreadsheets/d/1QqKyyYR6Q21VydFLVH3TRQUabQu_ym0Zz7PgGX0-kHA/edit?usp=sharing"",""แผน!FD48"")"),0)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IFERROR(__xludf.DUMMYFUNCTION("IMPORTRANGE(""https://docs.google.com/spreadsheets/d/1QqKyyYR6Q21VydFLVH3TRQUabQu_ym0Zz7PgGX0-kHA/edit?usp=sharing"",""แผน!FE48"")"),0)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IFERROR(__xludf.DUMMYFUNCTION("IMPORTRANGE(""https://docs.google.com/spreadsheets/d/1QqKyyYR6Q21VydFLVH3TRQUabQu_ym0Zz7PgGX0-kHA/edit?usp=sharing"",""แผน!FF48"")"),20)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IFERROR(__xludf.DUMMYFUNCTION("IMPORTRANGE(""https://docs.google.com/spreadsheets/d/1QqKyyYR6Q21VydFLVH3TRQUabQu_ym0Zz7PgGX0-kHA/edit?usp=sharing"",""แผน!FG48"")"),1)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IFERROR(__xludf.DUMMYFUNCTION("IMPORTRANGE(""https://docs.google.com/spreadsheets/d/1QqKyyYR6Q21VydFLVH3TRQUabQu_ym0Zz7PgGX0-kHA/edit?usp=sharing"",""แผน!FH48"")"),0)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50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150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423800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423800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423800</v>
      </c>
      <c r="M447" s="496">
        <f t="shared" si="201"/>
        <v>0</v>
      </c>
      <c r="N447" s="496">
        <f t="shared" si="201"/>
        <v>0</v>
      </c>
      <c r="O447" s="496">
        <f t="shared" ca="1" si="198"/>
        <v>0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IFERROR(__xludf.DUMMYFUNCTION("IMPORTRANGE(""https://docs.google.com/spreadsheets/d/1QqKyyYR6Q21VydFLVH3TRQUabQu_ym0Zz7PgGX0-kHA/edit?usp=sharing"",""แผน!FJ48"")"),423800)</f>
        <v>423800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IFERROR(__xludf.DUMMYFUNCTION("IMPORTRANGE(""https://docs.google.com/spreadsheets/d/1QqKyyYR6Q21VydFLVH3TRQUabQu_ym0Zz7PgGX0-kHA/edit?usp=sharing"",""แผน!FN48"")"),50)</f>
        <v>50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IFERROR(__xludf.DUMMYFUNCTION("IMPORTRANGE(""https://docs.google.com/spreadsheets/d/1QqKyyYR6Q21VydFLVH3TRQUabQu_ym0Zz7PgGX0-kHA/edit?usp=sharing"",""แผน!FO48"")"),150)</f>
        <v>150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IFERROR(__xludf.DUMMYFUNCTION("IMPORTRANGE(""https://docs.google.com/spreadsheets/d/1QqKyyYR6Q21VydFLVH3TRQUabQu_ym0Zz7PgGX0-kHA/edit?usp=sharing"",""แผน!FO48"")"),150)</f>
        <v>150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IFERROR(__xludf.DUMMYFUNCTION("IMPORTRANGE(""https://docs.google.com/spreadsheets/d/1QqKyyYR6Q21VydFLVH3TRQUabQu_ym0Zz7PgGX0-kHA/edit?usp=sharing"",""แผน!FN48"")"),50)</f>
        <v>50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IFERROR(__xludf.DUMMYFUNCTION("IMPORTRANGE(""https://docs.google.com/spreadsheets/d/1QqKyyYR6Q21VydFLVH3TRQUabQu_ym0Zz7PgGX0-kHA/edit?usp=sharing"",""แผน!FX48"")"),131)</f>
        <v>131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IFERROR(__xludf.DUMMYFUNCTION("IMPORTRANGE(""https://docs.google.com/spreadsheets/d/1QqKyyYR6Q21VydFLVH3TRQUabQu_ym0Zz7PgGX0-kHA/edit?usp=sharing"",""แผน!FW48"")"),1300)</f>
        <v>1300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1161548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1161548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1161548</v>
      </c>
      <c r="M470" s="496">
        <f t="shared" si="210"/>
        <v>0</v>
      </c>
      <c r="N470" s="496">
        <f t="shared" si="210"/>
        <v>0</v>
      </c>
      <c r="O470" s="496">
        <f t="shared" ca="1" si="207"/>
        <v>0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IFERROR(__xludf.DUMMYFUNCTION("IMPORTRANGE(""https://docs.google.com/spreadsheets/d/1QqKyyYR6Q21VydFLVH3TRQUabQu_ym0Zz7PgGX0-kHA/edit?usp=sharing"",""แผน!FS48"")"),1161548)</f>
        <v>1161548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IFERROR(__xludf.DUMMYFUNCTION("IMPORTRANGE(""https://docs.google.com/spreadsheets/d/1QqKyyYR6Q21VydFLVH3TRQUabQu_ym0Zz7PgGX0-kHA/edit?usp=sharing"",""แผน!FY48"")"),1170)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IFERROR(__xludf.DUMMYFUNCTION("IMPORTRANGE(""https://docs.google.com/spreadsheets/d/1QqKyyYR6Q21VydFLVH3TRQUabQu_ym0Zz7PgGX0-kHA/edit?usp=sharing"",""แผน!FZ48"")"),117)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IFERROR(__xludf.DUMMYFUNCTION("IMPORTRANGE(""https://docs.google.com/spreadsheets/d/1QqKyyYR6Q21VydFLVH3TRQUabQu_ym0Zz7PgGX0-kHA/edit?usp=sharing"",""แผน!GA48"")"),130)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IFERROR(__xludf.DUMMYFUNCTION("IMPORTRANGE(""https://docs.google.com/spreadsheets/d/1QqKyyYR6Q21VydFLVH3TRQUabQu_ym0Zz7PgGX0-kHA/edit?usp=sharing"",""แผน!GB48"")"),13)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IFERROR(__xludf.DUMMYFUNCTION("IMPORTRANGE(""https://docs.google.com/spreadsheets/d/1QqKyyYR6Q21VydFLVH3TRQUabQu_ym0Zz7PgGX0-kHA/edit?usp=sharing"",""แผน!GC48"")"),1)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IFERROR(__xludf.DUMMYFUNCTION("IMPORTRANGE(""https://docs.google.com/spreadsheets/d/1QqKyyYR6Q21VydFLVH3TRQUabQu_ym0Zz7PgGX0-kHA/edit?usp=sharing"",""แผน!FY48"")"),1170)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IFERROR(__xludf.DUMMYFUNCTION("IMPORTRANGE(""https://docs.google.com/spreadsheets/d/1QqKyyYR6Q21VydFLVH3TRQUabQu_ym0Zz7PgGX0-kHA/edit?usp=sharing"",""แผน!GA48"")"),130)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IFERROR(__xludf.DUMMYFUNCTION("IMPORTRANGE(""https://docs.google.com/spreadsheets/d/1QqKyyYR6Q21VydFLVH3TRQUabQu_ym0Zz7PgGX0-kHA/edit?usp=sharing"",""แผน!GU48"")"),0)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IFERROR(__xludf.DUMMYFUNCTION("IMPORTRANGE(""https://docs.google.com/spreadsheets/d/1QqKyyYR6Q21VydFLVH3TRQUabQu_ym0Zz7PgGX0-kHA/edit?usp=sharing"",""แผน!GV48"")"),0)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IFERROR(__xludf.DUMMYFUNCTION("IMPORTRANGE(""https://docs.google.com/spreadsheets/d/1QqKyyYR6Q21VydFLVH3TRQUabQu_ym0Zz7PgGX0-kHA/edit?usp=sharing"",""แผน!GW48"")"),0)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IFERROR(__xludf.DUMMYFUNCTION("IMPORTRANGE(""https://docs.google.com/spreadsheets/d/1QqKyyYR6Q21VydFLVH3TRQUabQu_ym0Zz7PgGX0-kHA/edit?usp=sharing"",""แผน!GX48"")"),0)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IFERROR(__xludf.DUMMYFUNCTION("IMPORTRANGE(""https://docs.google.com/spreadsheets/d/1QqKyyYR6Q21VydFLVH3TRQUabQu_ym0Zz7PgGX0-kHA/edit?usp=sharing"",""แผน!GY48"")"),0)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IFERROR(__xludf.DUMMYFUNCTION("IMPORTRANGE(""https://docs.google.com/spreadsheets/d/1QqKyyYR6Q21VydFLVH3TRQUabQu_ym0Zz7PgGX0-kHA/edit?usp=sharing"",""แผน!GZ48"")"),0)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41140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512582</v>
      </c>
      <c r="M544" s="155">
        <f t="shared" si="236"/>
        <v>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512582</v>
      </c>
      <c r="M546" s="93">
        <f t="shared" si="240"/>
        <v>0</v>
      </c>
      <c r="N546" s="93">
        <f t="shared" si="240"/>
        <v>0</v>
      </c>
      <c r="O546" s="93">
        <f t="shared" ca="1" si="237"/>
        <v>0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512582</v>
      </c>
      <c r="M547" s="496">
        <f t="shared" si="241"/>
        <v>0</v>
      </c>
      <c r="N547" s="496">
        <f t="shared" si="241"/>
        <v>0</v>
      </c>
      <c r="O547" s="496">
        <f t="shared" ca="1" si="237"/>
        <v>0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IFERROR(__xludf.DUMMYFUNCTION("IMPORTRANGE(""https://docs.google.com/spreadsheets/d/1QqKyyYR6Q21VydFLVH3TRQUabQu_ym0Zz7PgGX0-kHA/edit?usp=sharing"",""แผน!HB48"")"),512582)</f>
        <v>512582</v>
      </c>
      <c r="M549" s="93">
        <v>0</v>
      </c>
      <c r="N549" s="93">
        <f>N550+N551+N552+N553+N554</f>
        <v>0</v>
      </c>
      <c r="O549" s="93">
        <f t="shared" ca="1" si="237"/>
        <v>0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41140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IFERROR(__xludf.DUMMYFUNCTION("IMPORTRANGE(""https://docs.google.com/spreadsheets/d/1QqKyyYR6Q21VydFLVH3TRQUabQu_ym0Zz7PgGX0-kHA/edit?usp=sharing"",""แผน!HH48"")"),41140)</f>
        <v>41140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IFERROR(__xludf.DUMMYFUNCTION("IMPORTRANGE(""https://docs.google.com/spreadsheets/d/1QqKyyYR6Q21VydFLVH3TRQUabQu_ym0Zz7PgGX0-kHA/edit?usp=sharing"",""แผน!HH48"")"),41140)</f>
        <v>41140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IFERROR(__xludf.DUMMYFUNCTION("IMPORTRANGE(""https://docs.google.com/spreadsheets/d/1QqKyyYR6Q21VydFLVH3TRQUabQu_ym0Zz7PgGX0-kHA/edit?usp=sharing"",""แผน!HH48"")"),41140)</f>
        <v>41140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5333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IFERROR(__xludf.DUMMYFUNCTION("IMPORTRANGE(""https://docs.google.com/spreadsheets/d/1QqKyyYR6Q21VydFLVH3TRQUabQu_ym0Zz7PgGX0-kHA/edit?usp=sharing"",""แผน!HJ48"")"),5333)</f>
        <v>5333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IFERROR(__xludf.DUMMYFUNCTION("IMPORTRANGE(""https://docs.google.com/spreadsheets/d/1QqKyyYR6Q21VydFLVH3TRQUabQu_ym0Zz7PgGX0-kHA/edit?usp=sharing"",""แผน!HL48"")"),0)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IFERROR(__xludf.DUMMYFUNCTION("IMPORTRANGE(""https://docs.google.com/spreadsheets/d/1QqKyyYR6Q21VydFLVH3TRQUabQu_ym0Zz7PgGX0-kHA/edit?usp=sharing"",""แผน!HK48"")"),0)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130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368210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368210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368210</v>
      </c>
      <c r="M632" s="496">
        <f t="shared" si="267"/>
        <v>0</v>
      </c>
      <c r="N632" s="496">
        <f t="shared" si="267"/>
        <v>0</v>
      </c>
      <c r="O632" s="496">
        <f t="shared" ca="1" si="264"/>
        <v>0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IFERROR(__xludf.DUMMYFUNCTION("IMPORTRANGE(""https://docs.google.com/spreadsheets/d/1QqKyyYR6Q21VydFLVH3TRQUabQu_ym0Zz7PgGX0-kHA/edit?usp=sharing"",""แผน!HR48"")"),0)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IFERROR(__xludf.DUMMYFUNCTION("IMPORTRANGE(""https://docs.google.com/spreadsheets/d/1QqKyyYR6Q21VydFLVH3TRQUabQu_ym0Zz7PgGX0-kHA/edit?usp=sharing"",""แผน!HR48"")"),0)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IFERROR(__xludf.DUMMYFUNCTION("IMPORTRANGE(""https://docs.google.com/spreadsheets/d/1XWAQStnk-4SwqDmLtmXYiTMKHgktTP8We1SCoS47DrQ/edit?usp=sharing"",""จัดที่ดิน!AS48"")"),101)</f>
        <v>101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IFERROR(__xludf.DUMMYFUNCTION("IMPORTRANGE(""https://docs.google.com/spreadsheets/d/1XWAQStnk-4SwqDmLtmXYiTMKHgktTP8We1SCoS47DrQ/edit?usp=sharing"",""จัดที่ดิน!AT48"")"),79.62)</f>
        <v>79.62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IFERROR(__xludf.DUMMYFUNCTION("IMPORTRANGE(""https://docs.google.com/spreadsheets/d/1QqKyyYR6Q21VydFLVH3TRQUabQu_ym0Zz7PgGX0-kHA/edit?usp=sharing"",""แผน!HS48"")"),130)</f>
        <v>130</v>
      </c>
      <c r="J647" s="269">
        <f ca="1">IFERROR(__xludf.DUMMYFUNCTION("IMPORTRANGE(""https://docs.google.com/spreadsheets/d/1XWAQStnk-4SwqDmLtmXYiTMKHgktTP8We1SCoS47DrQ/edit?usp=sharing"",""จัดที่ดิน!AU48"")"),42)</f>
        <v>42</v>
      </c>
      <c r="K647" s="163">
        <f t="shared" ca="1" si="271"/>
        <v>32.307692307692307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IFERROR(__xludf.DUMMYFUNCTION("IMPORTRANGE(""https://docs.google.com/spreadsheets/d/1XWAQStnk-4SwqDmLtmXYiTMKHgktTP8We1SCoS47DrQ/edit?usp=sharing"",""จัดที่ดิน!AV48"")"),25.72)</f>
        <v>25.72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IFERROR(__xludf.DUMMYFUNCTION("IMPORTRANGE(""https://docs.google.com/spreadsheets/d/1QqKyyYR6Q21VydFLVH3TRQUabQu_ym0Zz7PgGX0-kHA/edit?usp=sharing"",""แผน!HS48"")"),130)</f>
        <v>130</v>
      </c>
      <c r="J649" s="269">
        <f ca="1">IFERROR(__xludf.DUMMYFUNCTION("IMPORTRANGE(""https://docs.google.com/spreadsheets/d/1XWAQStnk-4SwqDmLtmXYiTMKHgktTP8We1SCoS47DrQ/edit?usp=sharing"",""จัดที่ดิน!AW48"")"),0)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IFERROR(__xludf.DUMMYFUNCTION("IMPORTRANGE(""https://docs.google.com/spreadsheets/d/1XWAQStnk-4SwqDmLtmXYiTMKHgktTP8We1SCoS47DrQ/edit?usp=sharing"",""จัดที่ดิน!AX48"")"),0)</f>
        <v>0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IFERROR(__xludf.DUMMYFUNCTION("IMPORTRANGE(""https://docs.google.com/spreadsheets/d/1QqKyyYR6Q21VydFLVH3TRQUabQu_ym0Zz7PgGX0-kHA/edit?usp=sharing"",""แผน!HS48"")"),130)</f>
        <v>130</v>
      </c>
      <c r="J651" s="269">
        <f ca="1">IFERROR(__xludf.DUMMYFUNCTION("IMPORTRANGE(""https://docs.google.com/spreadsheets/d/1XWAQStnk-4SwqDmLtmXYiTMKHgktTP8We1SCoS47DrQ/edit?usp=sharing"",""จัดที่ดิน!AY48"")"),0)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IFERROR(__xludf.DUMMYFUNCTION("IMPORTRANGE(""https://docs.google.com/spreadsheets/d/1XWAQStnk-4SwqDmLtmXYiTMKHgktTP8We1SCoS47DrQ/edit?usp=sharing"",""จัดที่ดิน!AZ48"")"),0)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100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12400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IFERROR(__xludf.DUMMYFUNCTION("IMPORTRANGE(""https://docs.google.com/spreadsheets/d/1QqKyyYR6Q21VydFLVH3TRQUabQu_ym0Zz7PgGX0-kHA/edit?usp=sharing"",""แผน!IA48"")"),100)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IFERROR(__xludf.DUMMYFUNCTION("IMPORTRANGE(""https://docs.google.com/spreadsheets/d/1QqKyyYR6Q21VydFLVH3TRQUabQu_ym0Zz7PgGX0-kHA/edit?usp=sharing"",""แผน!HZ48"")"),4)</f>
        <v>4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IFERROR(__xludf.DUMMYFUNCTION("IMPORTRANGE(""https://docs.google.com/spreadsheets/d/1QqKyyYR6Q21VydFLVH3TRQUabQu_ym0Zz7PgGX0-kHA/edit?usp=sharing"",""แผน!HZ48"")"),4)</f>
        <v>4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IFERROR(__xludf.DUMMYFUNCTION("IMPORTRANGE(""https://docs.google.com/spreadsheets/d/1QqKyyYR6Q21VydFLVH3TRQUabQu_ym0Zz7PgGX0-kHA/edit?usp=sharing"",""แผน!IB48"")"),0)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3080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3080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3080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IFERROR(__xludf.DUMMYFUNCTION("IMPORTRANGE(""https://docs.google.com/spreadsheets/d/1QqKyyYR6Q21VydFLVH3TRQUabQu_ym0Zz7PgGX0-kHA/edit?usp=sharing"",""แผน!IC48"")"),0)</f>
        <v>0</v>
      </c>
      <c r="J699" s="269">
        <f ca="1">IFERROR(__xludf.DUMMYFUNCTION("IMPORTRANGE(""https://docs.google.com/spreadsheets/d/1XWAQStnk-4SwqDmLtmXYiTMKHgktTP8We1SCoS47DrQ/edit?usp=sharing"",""จัดที่ดิน!BB48"")"),0)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IFERROR(__xludf.DUMMYFUNCTION("IMPORTRANGE(""https://docs.google.com/spreadsheets/d/1QqKyyYR6Q21VydFLVH3TRQUabQu_ym0Zz7PgGX0-kHA/edit?usp=sharing"",""แผน!ID48"")"),9)</f>
        <v>9</v>
      </c>
      <c r="J700" s="269">
        <f ca="1">IFERROR(__xludf.DUMMYFUNCTION("IMPORTRANGE(""https://docs.google.com/spreadsheets/d/1XWAQStnk-4SwqDmLtmXYiTMKHgktTP8We1SCoS47DrQ/edit?usp=sharing"",""จัดที่ดิน!BD48"")"),0)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IFERROR(__xludf.DUMMYFUNCTION("IMPORTRANGE(""https://docs.google.com/spreadsheets/d/1QqKyyYR6Q21VydFLVH3TRQUabQu_ym0Zz7PgGX0-kHA/edit?usp=sharing"",""แผน!IE48"")"),0)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IFERROR(__xludf.DUMMYFUNCTION("IMPORTRANGE(""https://docs.google.com/spreadsheets/d/1QqKyyYR6Q21VydFLVH3TRQUabQu_ym0Zz7PgGX0-kHA/edit?usp=sharing"",""แผน!IF48"")"),0)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IFERROR(__xludf.DUMMYFUNCTION("IMPORTRANGE(""https://docs.google.com/spreadsheets/d/1QqKyyYR6Q21VydFLVH3TRQUabQu_ym0Zz7PgGX0-kHA/edit?usp=sharing"",""แผน!IG48"")"),0)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IFERROR(__xludf.DUMMYFUNCTION("IMPORTRANGE(""https://docs.google.com/spreadsheets/d/1QqKyyYR6Q21VydFLVH3TRQUabQu_ym0Zz7PgGX0-kHA/edit?usp=sharing"",""แผน!IH48"")"),0)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IFERROR(__xludf.DUMMYFUNCTION("IMPORTRANGE(""https://docs.google.com/spreadsheets/d/1XWAQStnk-4SwqDmLtmXYiTMKHgktTP8We1SCoS47DrQ/edit?usp=sharing"",""จัดที่ดิน!BF48"")"),0)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IFERROR(__xludf.DUMMYFUNCTION("IMPORTRANGE(""https://docs.google.com/spreadsheets/d/1XWAQStnk-4SwqDmLtmXYiTMKHgktTP8We1SCoS47DrQ/edit?usp=sharing"",""จัดที่ดิน!BG48"")"),0)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IFERROR(__xludf.DUMMYFUNCTION("IMPORTRANGE(""https://docs.google.com/spreadsheets/d/1QqKyyYR6Q21VydFLVH3TRQUabQu_ym0Zz7PgGX0-kHA/edit?usp=sharing"",""แผน!II48"")"),0)</f>
        <v>0</v>
      </c>
      <c r="J720" s="269">
        <f ca="1">IFERROR(__xludf.DUMMYFUNCTION("IMPORTRANGE(""https://docs.google.com/spreadsheets/d/1XWAQStnk-4SwqDmLtmXYiTMKHgktTP8We1SCoS47DrQ/edit?usp=sharing"",""จัดที่ดิน!BH48"")"),0)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IFERROR(__xludf.DUMMYFUNCTION("IMPORTRANGE(""https://docs.google.com/spreadsheets/d/1QqKyyYR6Q21VydFLVH3TRQUabQu_ym0Zz7PgGX0-kHA/edit?usp=sharing"",""แผน!IJ48"")"),0)</f>
        <v>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IFERROR(__xludf.DUMMYFUNCTION("IMPORTRANGE(""https://docs.google.com/spreadsheets/d/1QqKyyYR6Q21VydFLVH3TRQUabQu_ym0Zz7PgGX0-kHA/edit?usp=sharing"",""แผน!IK48"")"),0)</f>
        <v>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IFERROR(__xludf.DUMMYFUNCTION("IMPORTRANGE(""https://docs.google.com/spreadsheets/d/1QqKyyYR6Q21VydFLVH3TRQUabQu_ym0Zz7PgGX0-kHA/edit?usp=sharing"",""แผน!IL48"")"),0)</f>
        <v>0</v>
      </c>
      <c r="J723" s="269">
        <f ca="1">IFERROR(__xludf.DUMMYFUNCTION("IMPORTRANGE(""https://docs.google.com/spreadsheets/d/1XWAQStnk-4SwqDmLtmXYiTMKHgktTP8We1SCoS47DrQ/edit?usp=sharing"",""จัดที่ดิน!BM48"")"),0)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IFERROR(__xludf.DUMMYFUNCTION("IMPORTRANGE(""https://docs.google.com/spreadsheets/d/1XWAQStnk-4SwqDmLtmXYiTMKHgktTP8We1SCoS47DrQ/edit?usp=sharing"",""จัดที่ดิน!BN48"")"),0)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IFERROR(__xludf.DUMMYFUNCTION("IMPORTRANGE(""https://docs.google.com/spreadsheets/d/1QqKyyYR6Q21VydFLVH3TRQUabQu_ym0Zz7PgGX0-kHA/edit?usp=sharing"",""แผน!IM48"")"),0)</f>
        <v>0</v>
      </c>
      <c r="J725" s="269">
        <f ca="1">IFERROR(__xludf.DUMMYFUNCTION("IMPORTRANGE(""https://docs.google.com/spreadsheets/d/1XWAQStnk-4SwqDmLtmXYiTMKHgktTP8We1SCoS47DrQ/edit?usp=sharing"",""จัดที่ดิน!BO48"")"),0)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IFERROR(__xludf.DUMMYFUNCTION("IMPORTRANGE(""https://docs.google.com/spreadsheets/d/1QqKyyYR6Q21VydFLVH3TRQUabQu_ym0Zz7PgGX0-kHA/edit?usp=sharing"",""แผน!IN48"")"),0)</f>
        <v>0</v>
      </c>
      <c r="J726" s="269">
        <f ca="1">IFERROR(__xludf.DUMMYFUNCTION("IMPORTRANGE(""https://docs.google.com/spreadsheets/d/1XWAQStnk-4SwqDmLtmXYiTMKHgktTP8We1SCoS47DrQ/edit?usp=sharing"",""จัดที่ดิน!BR48"")"),0)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IFERROR(__xludf.DUMMYFUNCTION("IMPORTRANGE(""https://docs.google.com/spreadsheets/d/1XWAQStnk-4SwqDmLtmXYiTMKHgktTP8We1SCoS47DrQ/edit?usp=sharing"",""จัดที่ดิน!BS48"")"),0)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IFERROR(__xludf.DUMMYFUNCTION("IMPORTRANGE(""https://docs.google.com/spreadsheets/d/1QqKyyYR6Q21VydFLVH3TRQUabQu_ym0Zz7PgGX0-kHA/edit?usp=sharing"",""แผน!IO48"")"),0)</f>
        <v>0</v>
      </c>
      <c r="J728" s="269">
        <f ca="1">IFERROR(__xludf.DUMMYFUNCTION("IMPORTRANGE(""https://docs.google.com/spreadsheets/d/1XWAQStnk-4SwqDmLtmXYiTMKHgktTP8We1SCoS47DrQ/edit?usp=sharing"",""จัดที่ดิน!BT48"")"),0)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IFERROR(__xludf.DUMMYFUNCTION("IMPORTRANGE(""https://docs.google.com/spreadsheets/d/1QqKyyYR6Q21VydFLVH3TRQUabQu_ym0Zz7PgGX0-kHA/edit?usp=sharing"",""แผน!IP48"")"),10)</f>
        <v>10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4000</v>
      </c>
      <c r="J785" s="798">
        <f t="shared" ca="1" si="318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266560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266560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266560</v>
      </c>
      <c r="M789" s="496">
        <f t="shared" si="323"/>
        <v>0</v>
      </c>
      <c r="N789" s="496">
        <f t="shared" si="323"/>
        <v>0</v>
      </c>
      <c r="O789" s="496">
        <f t="shared" ca="1" si="320"/>
        <v>0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IFERROR(__xludf.DUMMYFUNCTION("IMPORTRANGE(""https://docs.google.com/spreadsheets/d/1QqKyyYR6Q21VydFLVH3TRQUabQu_ym0Zz7PgGX0-kHA/edit?usp=sharing"",""แผน!JN48"")"),4000)</f>
        <v>4000</v>
      </c>
      <c r="J800" s="184">
        <f ca="1">IFERROR(__xludf.DUMMYFUNCTION("IMPORTRANGE(""https://docs.google.com/spreadsheets/d/1MaWodYyGHDf7siQLGxnXhG4mBNTNIuy296niS2xXulU/edit?usp=sharing"",""RTK!H48"")"),0)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IFERROR(__xludf.DUMMYFUNCTION("IMPORTRANGE(""https://docs.google.com/spreadsheets/d/1MaWodYyGHDf7siQLGxnXhG4mBNTNIuy296niS2xXulU/edit?usp=sharing"",""RTK!I48"")"),0)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269">
        <f ca="1">IFERROR(__xludf.DUMMYFUNCTION("IMPORTRANGE(""https://docs.google.com/spreadsheets/d/19vJNZY_5yjcGF2XGBMNZRCAIB0Kwfpjp8YEOfu-bneM/edit?usp=sharing"",""งานกองทุน!F48"")"),10000)</f>
        <v>10000</v>
      </c>
      <c r="K821" s="496">
        <f t="shared" ref="K821:K828" ca="1" si="335">IF(I821&gt;0,J821*100/I821,0)</f>
        <v>0.3430895289621273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IFERROR(__xludf.DUMMYFUNCTION("IMPORTRANGE(""https://docs.google.com/spreadsheets/d/19vJNZY_5yjcGF2XGBMNZRCAIB0Kwfpjp8YEOfu-bneM/edit?usp=sharing"",""งานกองทุน!C48"")"),178)</f>
        <v>178</v>
      </c>
      <c r="J822" s="269">
        <f ca="1">IFERROR(__xludf.DUMMYFUNCTION("IMPORTRANGE(""https://docs.google.com/spreadsheets/d/19vJNZY_5yjcGF2XGBMNZRCAIB0Kwfpjp8YEOfu-bneM/edit?usp=sharing"",""งานกองทุน!E48"")"),1)</f>
        <v>1</v>
      </c>
      <c r="K822" s="496">
        <f t="shared" ca="1" si="335"/>
        <v>0.5617977528089888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69">
        <f ca="1">IFERROR(__xludf.DUMMYFUNCTION("IMPORTRANGE(""https://docs.google.com/spreadsheets/d/19vJNZY_5yjcGF2XGBMNZRCAIB0Kwfpjp8YEOfu-bneM/edit?usp=sharing"",""งานกองทุน!K48"")"),24021.85)</f>
        <v>24021.85</v>
      </c>
      <c r="K823" s="496">
        <f t="shared" ca="1" si="335"/>
        <v>1.0352571875124845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IFERROR(__xludf.DUMMYFUNCTION("IMPORTRANGE(""https://docs.google.com/spreadsheets/d/19vJNZY_5yjcGF2XGBMNZRCAIB0Kwfpjp8YEOfu-bneM/edit?usp=sharing"",""งานกองทุน!H48"")"),113)</f>
        <v>113</v>
      </c>
      <c r="J824" s="269">
        <f ca="1">IFERROR(__xludf.DUMMYFUNCTION("IMPORTRANGE(""https://docs.google.com/spreadsheets/d/19vJNZY_5yjcGF2XGBMNZRCAIB0Kwfpjp8YEOfu-bneM/edit?usp=sharing"",""งานกองทุน!J48"")"),8)</f>
        <v>8</v>
      </c>
      <c r="K824" s="496">
        <f t="shared" ca="1" si="335"/>
        <v>7.0796460176991154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IFERROR(__xludf.DUMMYFUNCTION("IMPORTRANGE(""https://docs.google.com/spreadsheets/d/19vJNZY_5yjcGF2XGBMNZRCAIB0Kwfpjp8YEOfu-bneM/edit?usp=sharing"",""งานกองทุน!N48"")"),0)</f>
        <v>0</v>
      </c>
      <c r="J825" s="269">
        <f ca="1">IFERROR(__xludf.DUMMYFUNCTION("IMPORTRANGE(""https://docs.google.com/spreadsheets/d/19vJNZY_5yjcGF2XGBMNZRCAIB0Kwfpjp8YEOfu-bneM/edit?usp=sharing"",""งานกองทุน!P48"")"),0)</f>
        <v>0</v>
      </c>
      <c r="K825" s="496">
        <f t="shared" ca="1" si="335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IFERROR(__xludf.DUMMYFUNCTION("IMPORTRANGE(""https://docs.google.com/spreadsheets/d/19vJNZY_5yjcGF2XGBMNZRCAIB0Kwfpjp8YEOfu-bneM/edit?usp=sharing"",""งานกองทุน!M48"")"),0)</f>
        <v>0</v>
      </c>
      <c r="J826" s="269">
        <f ca="1">IFERROR(__xludf.DUMMYFUNCTION("IMPORTRANGE(""https://docs.google.com/spreadsheets/d/19vJNZY_5yjcGF2XGBMNZRCAIB0Kwfpjp8YEOfu-bneM/edit?usp=sharing"",""งานกองทุน!O48"")"),0)</f>
        <v>0</v>
      </c>
      <c r="K826" s="496">
        <f t="shared" ca="1" si="335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IFERROR(__xludf.DUMMYFUNCTION("IMPORTRANGE(""https://docs.google.com/spreadsheets/d/19vJNZY_5yjcGF2XGBMNZRCAIB0Kwfpjp8YEOfu-bneM/edit?usp=sharing"",""งานกองทุน!S48"")"),4200000)</f>
        <v>4200000</v>
      </c>
      <c r="J827" s="269">
        <f ca="1">IFERROR(__xludf.DUMMYFUNCTION("IMPORTRANGE(""https://docs.google.com/spreadsheets/d/19vJNZY_5yjcGF2XGBMNZRCAIB0Kwfpjp8YEOfu-bneM/edit?usp=sharing"",""งานกองทุน!U48"")"),0)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IFERROR(__xludf.DUMMYFUNCTION("IMPORTRANGE(""https://docs.google.com/spreadsheets/d/19vJNZY_5yjcGF2XGBMNZRCAIB0Kwfpjp8YEOfu-bneM/edit?usp=sharing"",""งานกองทุน!R48"")"),168)</f>
        <v>168</v>
      </c>
      <c r="J828" s="499">
        <f ca="1">IFERROR(__xludf.DUMMYFUNCTION("IMPORTRANGE(""https://docs.google.com/spreadsheets/d/19vJNZY_5yjcGF2XGBMNZRCAIB0Kwfpjp8YEOfu-bneM/edit?usp=sharing"",""งานกองทุน!T48"")"),34)</f>
        <v>34</v>
      </c>
      <c r="K828" s="500">
        <f t="shared" ca="1" si="335"/>
        <v>20.238095238095237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BB27-CE11-402F-B542-49F750A39E7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1.285156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354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4508186</v>
      </c>
      <c r="M8" s="22">
        <f t="shared" ca="1" si="0"/>
        <v>1571115</v>
      </c>
      <c r="N8" s="22">
        <f t="shared" ca="1" si="0"/>
        <v>517866.33</v>
      </c>
      <c r="O8" s="22">
        <f t="shared" ref="O8:O16" ca="1" si="1">IF(L8&gt;0,N8*100/L8,0)</f>
        <v>11.487244093300498</v>
      </c>
      <c r="P8" s="22">
        <f t="shared" ref="P8:P16" ca="1" si="2">IF(M8&gt;0,N8*100/M8,0)</f>
        <v>32.961707449804756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4508186</v>
      </c>
      <c r="M10" s="30">
        <f t="shared" ca="1" si="3"/>
        <v>1571115</v>
      </c>
      <c r="N10" s="30">
        <f t="shared" ca="1" si="3"/>
        <v>517866.33</v>
      </c>
      <c r="O10" s="30">
        <f t="shared" ca="1" si="1"/>
        <v>11.487244093300498</v>
      </c>
      <c r="P10" s="30">
        <f t="shared" ca="1" si="2"/>
        <v>32.961707449804756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4412786</v>
      </c>
      <c r="M11" s="496">
        <f t="shared" ca="1" si="4"/>
        <v>1475715</v>
      </c>
      <c r="N11" s="496">
        <f t="shared" ca="1" si="4"/>
        <v>422466.33</v>
      </c>
      <c r="O11" s="496">
        <f t="shared" ca="1" si="1"/>
        <v>9.5736872352296256</v>
      </c>
      <c r="P11" s="496">
        <f t="shared" ca="1" si="2"/>
        <v>28.627907827730965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4412786</v>
      </c>
      <c r="M13" s="93">
        <f t="shared" ca="1" si="5"/>
        <v>1475715</v>
      </c>
      <c r="N13" s="93">
        <f t="shared" ca="1" si="5"/>
        <v>422466.33</v>
      </c>
      <c r="O13" s="93">
        <f t="shared" ca="1" si="1"/>
        <v>9.5736872352296256</v>
      </c>
      <c r="P13" s="93">
        <f t="shared" ca="1" si="2"/>
        <v>28.627907827730965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95400</v>
      </c>
      <c r="M14" s="496">
        <f t="shared" ca="1" si="6"/>
        <v>95400</v>
      </c>
      <c r="N14" s="496">
        <f t="shared" ca="1" si="6"/>
        <v>95400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1571115</v>
      </c>
      <c r="N18" s="22">
        <f t="shared" ca="1" si="8"/>
        <v>517866.33</v>
      </c>
      <c r="O18" s="22">
        <f t="shared" ref="O18:O26" ca="1" si="9">IF(L18&gt;0,N18*100/L18,0)</f>
        <v>16.94741280710797</v>
      </c>
      <c r="P18" s="22">
        <f t="shared" ref="P18:P26" ca="1" si="10">IF(M18&gt;0,N18*100/M18,0)</f>
        <v>32.961707449804756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1571115</v>
      </c>
      <c r="N20" s="30">
        <f t="shared" ca="1" si="11"/>
        <v>517866.33</v>
      </c>
      <c r="O20" s="30">
        <f t="shared" ca="1" si="9"/>
        <v>16.94741280710797</v>
      </c>
      <c r="P20" s="30">
        <f t="shared" ca="1" si="10"/>
        <v>32.961707449804756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2960325</v>
      </c>
      <c r="M21" s="496">
        <f t="shared" ca="1" si="12"/>
        <v>1475715</v>
      </c>
      <c r="N21" s="496">
        <f t="shared" ca="1" si="12"/>
        <v>422466.33</v>
      </c>
      <c r="O21" s="496">
        <f t="shared" ca="1" si="9"/>
        <v>14.270944237541487</v>
      </c>
      <c r="P21" s="496">
        <f t="shared" ca="1" si="10"/>
        <v>28.627907827730965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2960325</v>
      </c>
      <c r="M23" s="93">
        <f t="shared" ca="1" si="13"/>
        <v>1475715</v>
      </c>
      <c r="N23" s="93">
        <f t="shared" ca="1" si="13"/>
        <v>422466.33</v>
      </c>
      <c r="O23" s="93">
        <f t="shared" ca="1" si="9"/>
        <v>14.270944237541487</v>
      </c>
      <c r="P23" s="93">
        <f t="shared" ca="1" si="10"/>
        <v>28.627907827730965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95400</v>
      </c>
      <c r="M24" s="496">
        <f t="shared" ca="1" si="14"/>
        <v>95400</v>
      </c>
      <c r="N24" s="496">
        <f t="shared" ca="1" si="14"/>
        <v>95400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1452461</v>
      </c>
      <c r="M28" s="22">
        <f t="shared" si="16"/>
        <v>0</v>
      </c>
      <c r="N28" s="22">
        <f t="shared" si="16"/>
        <v>0</v>
      </c>
      <c r="O28" s="22">
        <f t="shared" ref="O28:O37" ca="1" si="17">IF(L28&gt;0,N28*100/L28,0)</f>
        <v>0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1452461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1452461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1452461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3055725</v>
      </c>
      <c r="M37" s="59">
        <f t="shared" ca="1" si="24"/>
        <v>1571115</v>
      </c>
      <c r="N37" s="59">
        <f t="shared" ca="1" si="24"/>
        <v>517866.33</v>
      </c>
      <c r="O37" s="59">
        <f t="shared" ca="1" si="17"/>
        <v>16.94741280710797</v>
      </c>
      <c r="P37" s="59">
        <f t="shared" ca="1" si="18"/>
        <v>32.961707449804756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220150</v>
      </c>
      <c r="N41" s="85">
        <f t="shared" ca="1" si="25"/>
        <v>81900</v>
      </c>
      <c r="O41" s="85">
        <f t="shared" ref="O41:O49" ca="1" si="26">IF(L41&gt;0,N41*100/L41,0)</f>
        <v>18.600953895071541</v>
      </c>
      <c r="P41" s="85">
        <f t="shared" ref="P41:P49" ca="1" si="27">IF(M41&gt;0,N41*100/M41,0)</f>
        <v>37.201907790143082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220150</v>
      </c>
      <c r="N43" s="92">
        <f t="shared" ca="1" si="28"/>
        <v>81900</v>
      </c>
      <c r="O43" s="92">
        <f t="shared" ca="1" si="26"/>
        <v>18.600953895071541</v>
      </c>
      <c r="P43" s="92">
        <f t="shared" ca="1" si="27"/>
        <v>37.201907790143082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440300</v>
      </c>
      <c r="M44" s="496">
        <f t="shared" ca="1" si="29"/>
        <v>220150</v>
      </c>
      <c r="N44" s="496">
        <f t="shared" ca="1" si="29"/>
        <v>81900</v>
      </c>
      <c r="O44" s="496">
        <f t="shared" ca="1" si="26"/>
        <v>18.600953895071541</v>
      </c>
      <c r="P44" s="496">
        <f t="shared" ca="1" si="27"/>
        <v>37.201907790143082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IFERROR(__xludf.DUMMYFUNCTION("IMPORTRANGE(""https://docs.google.com/spreadsheets/d/1MeEWN-I1oV_STSDYn1IFDPWt_1FKiwhDph83XaGc0o0/edit?usp=sharing"",""งบพรบ!R49"")"),220150)</f>
        <v>220150</v>
      </c>
      <c r="N46" s="93">
        <f ca="1">IFERROR(__xludf.DUMMYFUNCTION("IMPORTRANGE(""https://docs.google.com/spreadsheets/d/1MeEWN-I1oV_STSDYn1IFDPWt_1FKiwhDph83XaGc0o0/edit?usp=sharing"",""งบพรบ!T49"")"),81900)</f>
        <v>81900</v>
      </c>
      <c r="O46" s="93">
        <f t="shared" ca="1" si="26"/>
        <v>18.600953895071541</v>
      </c>
      <c r="P46" s="93">
        <f t="shared" ca="1" si="27"/>
        <v>37.201907790143082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330950</v>
      </c>
      <c r="N53" s="116">
        <f t="shared" ca="1" si="31"/>
        <v>113624.33</v>
      </c>
      <c r="O53" s="116">
        <f t="shared" ref="O53:O61" ca="1" si="32">IF(L53&gt;0,N53*100/L53,0)</f>
        <v>17.16638918265599</v>
      </c>
      <c r="P53" s="116">
        <f t="shared" ref="P53:P61" ca="1" si="33">IF(M53&gt;0,N53*100/M53,0)</f>
        <v>34.332778365311981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330950</v>
      </c>
      <c r="N55" s="123">
        <f t="shared" ca="1" si="34"/>
        <v>113624.33</v>
      </c>
      <c r="O55" s="123">
        <f t="shared" ca="1" si="32"/>
        <v>17.16638918265599</v>
      </c>
      <c r="P55" s="123">
        <f t="shared" ca="1" si="33"/>
        <v>34.332778365311981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661900</v>
      </c>
      <c r="M56" s="496">
        <f t="shared" ca="1" si="35"/>
        <v>330950</v>
      </c>
      <c r="N56" s="496">
        <f t="shared" ca="1" si="35"/>
        <v>113624.33</v>
      </c>
      <c r="O56" s="496">
        <f t="shared" ca="1" si="32"/>
        <v>17.16638918265599</v>
      </c>
      <c r="P56" s="496">
        <f t="shared" ca="1" si="33"/>
        <v>34.332778365311981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IFERROR(__xludf.DUMMYFUNCTION("IMPORTRANGE(""https://docs.google.com/spreadsheets/d/1MeEWN-I1oV_STSDYn1IFDPWt_1FKiwhDph83XaGc0o0/edit?usp=sharing"",""งบพรบ!AB49"")"),330950)</f>
        <v>330950</v>
      </c>
      <c r="N58" s="93">
        <f ca="1">IFERROR(__xludf.DUMMYFUNCTION("IMPORTRANGE(""https://docs.google.com/spreadsheets/d/1MeEWN-I1oV_STSDYn1IFDPWt_1FKiwhDph83XaGc0o0/edit?usp=sharing"",""งบพรบ!AD49"")"),113624.33)</f>
        <v>113624.33</v>
      </c>
      <c r="O58" s="93">
        <f t="shared" ca="1" si="32"/>
        <v>17.16638918265599</v>
      </c>
      <c r="P58" s="93">
        <f t="shared" ca="1" si="33"/>
        <v>34.332778365311981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48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781500</v>
      </c>
      <c r="M66" s="155">
        <f t="shared" ca="1" si="39"/>
        <v>376850</v>
      </c>
      <c r="N66" s="155">
        <f t="shared" ca="1" si="39"/>
        <v>58647</v>
      </c>
      <c r="O66" s="155">
        <f t="shared" ref="O66:O74" ca="1" si="40">IF(L66&gt;0,N66*100/L66,0)</f>
        <v>7.5044145873320538</v>
      </c>
      <c r="P66" s="155">
        <f t="shared" ref="P66:P74" ca="1" si="41">IF(M66&gt;0,N66*100/M66,0)</f>
        <v>15.562425368183627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781500</v>
      </c>
      <c r="M68" s="93">
        <f t="shared" ca="1" si="42"/>
        <v>376850</v>
      </c>
      <c r="N68" s="93">
        <f t="shared" ca="1" si="42"/>
        <v>58647</v>
      </c>
      <c r="O68" s="93">
        <f t="shared" ca="1" si="40"/>
        <v>7.5044145873320538</v>
      </c>
      <c r="P68" s="93">
        <f t="shared" ca="1" si="41"/>
        <v>15.562425368183627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781500</v>
      </c>
      <c r="M69" s="496">
        <f t="shared" ca="1" si="43"/>
        <v>376850</v>
      </c>
      <c r="N69" s="496">
        <f t="shared" ca="1" si="43"/>
        <v>58647</v>
      </c>
      <c r="O69" s="496">
        <f t="shared" ca="1" si="40"/>
        <v>7.5044145873320538</v>
      </c>
      <c r="P69" s="496">
        <f t="shared" ca="1" si="41"/>
        <v>15.562425368183627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IFERROR(__xludf.DUMMYFUNCTION("IMPORTRANGE(""https://docs.google.com/spreadsheets/d/1MeEWN-I1oV_STSDYn1IFDPWt_1FKiwhDph83XaGc0o0/edit?usp=sharing"",""งบพรบ!AL49"")"),376850)</f>
        <v>376850</v>
      </c>
      <c r="N71" s="93">
        <f ca="1">IFERROR(__xludf.DUMMYFUNCTION("IMPORTRANGE(""https://docs.google.com/spreadsheets/d/1MeEWN-I1oV_STSDYn1IFDPWt_1FKiwhDph83XaGc0o0/edit?usp=sharing"",""งบพรบ!AN49"")"),58647)</f>
        <v>58647</v>
      </c>
      <c r="O71" s="93">
        <f t="shared" ca="1" si="40"/>
        <v>7.5044145873320538</v>
      </c>
      <c r="P71" s="93">
        <f t="shared" ca="1" si="41"/>
        <v>15.562425368183627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48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56040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56040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56040</v>
      </c>
      <c r="M91" s="496">
        <f t="shared" ca="1" si="53"/>
        <v>21840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IFERROR(__xludf.DUMMYFUNCTION("IMPORTRANGE(""https://docs.google.com/spreadsheets/d/1MeEWN-I1oV_STSDYn1IFDPWt_1FKiwhDph83XaGc0o0/edit?usp=sharing"",""งบพรบ!AV49"")"),21840)</f>
        <v>21840</v>
      </c>
      <c r="N93" s="93">
        <f ca="1">IFERROR(__xludf.DUMMYFUNCTION("IMPORTRANGE(""https://docs.google.com/spreadsheets/d/1MeEWN-I1oV_STSDYn1IFDPWt_1FKiwhDph83XaGc0o0/edit?usp=sharing"",""งบพรบ!AX49"")"),0)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IFERROR(__xludf.DUMMYFUNCTION("IMPORTRANGE(""https://docs.google.com/spreadsheets/d/1QqKyyYR6Q21VydFLVH3TRQUabQu_ym0Zz7PgGX0-kHA/edit?usp=sharing"",""แผน!K49"")"),30)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IFERROR(__xludf.DUMMYFUNCTION("IMPORTRANGE(""https://docs.google.com/spreadsheets/d/1QqKyyYR6Q21VydFLVH3TRQUabQu_ym0Zz7PgGX0-kHA/edit?usp=sharing"",""แผน!L49"")"),10)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IFERROR(__xludf.DUMMYFUNCTION("IMPORTRANGE(""https://docs.google.com/spreadsheets/d/1QqKyyYR6Q21VydFLVH3TRQUabQu_ym0Zz7PgGX0-kHA/edit?usp=sharing"",""แผน!M49"")"),1)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IFERROR(__xludf.DUMMYFUNCTION("IMPORTRANGE(""https://docs.google.com/spreadsheets/d/1QqKyyYR6Q21VydFLVH3TRQUabQu_ym0Zz7PgGX0-kHA/edit?usp=sharing"",""แผน!N49"")"),30)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IFERROR(__xludf.DUMMYFUNCTION("IMPORTRANGE(""https://docs.google.com/spreadsheets/d/1QqKyyYR6Q21VydFLVH3TRQUabQu_ym0Zz7PgGX0-kHA/edit?usp=sharing"",""แผน!O49"")"),10)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IFERROR(__xludf.DUMMYFUNCTION("IMPORTRANGE(""https://docs.google.com/spreadsheets/d/1QqKyyYR6Q21VydFLVH3TRQUabQu_ym0Zz7PgGX0-kHA/edit?usp=sharing"",""แผน!O49"")"),10)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IFERROR(__xludf.DUMMYFUNCTION("IMPORTRANGE(""https://docs.google.com/spreadsheets/d/1QqKyyYR6Q21VydFLVH3TRQUabQu_ym0Zz7PgGX0-kHA/edit?usp=sharing"",""แผน!P49"")"),1)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IFERROR(__xludf.DUMMYFUNCTION("IMPORTRANGE(""https://docs.google.com/spreadsheets/d/1QqKyyYR6Q21VydFLVH3TRQUabQu_ym0Zz7PgGX0-kHA/edit?usp=sharing"",""แผน!P49"")"),1)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IFERROR(__xludf.DUMMYFUNCTION("IMPORTRANGE(""https://docs.google.com/spreadsheets/d/1QqKyyYR6Q21VydFLVH3TRQUabQu_ym0Zz7PgGX0-kHA/edit?usp=sharing"",""แผน!Q49"")"),0)</f>
        <v>0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IFERROR(__xludf.DUMMYFUNCTION("IMPORTRANGE(""https://docs.google.com/spreadsheets/d/1QqKyyYR6Q21VydFLVH3TRQUabQu_ym0Zz7PgGX0-kHA/edit?usp=sharing"",""แผน!Q49"")"),0)</f>
        <v>0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IFERROR(__xludf.DUMMYFUNCTION("IMPORTRANGE(""https://docs.google.com/spreadsheets/d/1QqKyyYR6Q21VydFLVH3TRQUabQu_ym0Zz7PgGX0-kHA/edit?usp=sharing"",""แผน!U49"")"),0)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IFERROR(__xludf.DUMMYFUNCTION("IMPORTRANGE(""https://docs.google.com/spreadsheets/d/1QqKyyYR6Q21VydFLVH3TRQUabQu_ym0Zz7PgGX0-kHA/edit?usp=sharing"",""แผน!V49"")"),0)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IFERROR(__xludf.DUMMYFUNCTION("IMPORTRANGE(""https://docs.google.com/spreadsheets/d/1QqKyyYR6Q21VydFLVH3TRQUabQu_ym0Zz7PgGX0-kHA/edit?usp=sharing"",""แผน!W49"")"),0)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IFERROR(__xludf.DUMMYFUNCTION("IMPORTRANGE(""https://docs.google.com/spreadsheets/d/1QqKyyYR6Q21VydFLVH3TRQUabQu_ym0Zz7PgGX0-kHA/edit?usp=sharing"",""แผน!X49"")"),0)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11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22055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IFERROR(__xludf.DUMMYFUNCTION("IMPORTRANGE(""https://docs.google.com/spreadsheets/d/1MeEWN-I1oV_STSDYn1IFDPWt_1FKiwhDph83XaGc0o0/edit?usp=sharing"",""งบพรบ!CJ49"")"),22055)</f>
        <v>22055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11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IFERROR(__xludf.DUMMYFUNCTION("IMPORTRANGE(""https://docs.google.com/spreadsheets/d/1QqKyyYR6Q21VydFLVH3TRQUabQu_ym0Zz7PgGX0-kHA/edit?usp=sharing"",""แผน!Y49"")"),11)</f>
        <v>11</v>
      </c>
      <c r="J176" s="214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1">L182+L183</f>
        <v>73600</v>
      </c>
      <c r="M181" s="155">
        <f t="shared" ca="1" si="91"/>
        <v>30000</v>
      </c>
      <c r="N181" s="155">
        <f t="shared" ca="1" si="91"/>
        <v>9740</v>
      </c>
      <c r="O181" s="155">
        <f t="shared" ref="O181:O189" ca="1" si="92">IF(L181&gt;0,N181*100/L181,0)</f>
        <v>13.233695652173912</v>
      </c>
      <c r="P181" s="155">
        <f t="shared" ref="P181:P189" ca="1" si="93">IF(M181&gt;0,N181*100/M181,0)</f>
        <v>32.466666666666669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73600</v>
      </c>
      <c r="M183" s="93">
        <f t="shared" ca="1" si="94"/>
        <v>30000</v>
      </c>
      <c r="N183" s="93">
        <f t="shared" ca="1" si="94"/>
        <v>9740</v>
      </c>
      <c r="O183" s="93">
        <f t="shared" ca="1" si="92"/>
        <v>13.233695652173912</v>
      </c>
      <c r="P183" s="93">
        <f t="shared" ca="1" si="93"/>
        <v>32.466666666666669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73600</v>
      </c>
      <c r="M184" s="496">
        <f t="shared" ca="1" si="95"/>
        <v>30000</v>
      </c>
      <c r="N184" s="496">
        <f t="shared" ca="1" si="95"/>
        <v>9740</v>
      </c>
      <c r="O184" s="496">
        <f t="shared" ca="1" si="92"/>
        <v>13.233695652173912</v>
      </c>
      <c r="P184" s="496">
        <f t="shared" ca="1" si="93"/>
        <v>32.466666666666669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IFERROR(__xludf.DUMMYFUNCTION("IMPORTRANGE(""https://docs.google.com/spreadsheets/d/1MeEWN-I1oV_STSDYn1IFDPWt_1FKiwhDph83XaGc0o0/edit?usp=sharing"",""งบพรบ!CT49"")"),30000)</f>
        <v>30000</v>
      </c>
      <c r="N186" s="93">
        <f ca="1">IFERROR(__xludf.DUMMYFUNCTION("IMPORTRANGE(""https://docs.google.com/spreadsheets/d/1MeEWN-I1oV_STSDYn1IFDPWt_1FKiwhDph83XaGc0o0/edit?usp=sharing"",""งบพรบ!CV49"")"),9740)</f>
        <v>9740</v>
      </c>
      <c r="O186" s="93">
        <f t="shared" ca="1" si="92"/>
        <v>13.233695652173912</v>
      </c>
      <c r="P186" s="93">
        <f t="shared" ca="1" si="93"/>
        <v>32.466666666666669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IFERROR(__xludf.DUMMYFUNCTION("IMPORTRANGE(""https://docs.google.com/spreadsheets/d/1QqKyyYR6Q21VydFLVH3TRQUabQu_ym0Zz7PgGX0-kHA/edit?usp=sharing"",""แผน!AC49"")"),4)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31000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IFERROR(__xludf.DUMMYFUNCTION("IMPORTRANGE(""https://docs.google.com/spreadsheets/d/1QqKyyYR6Q21VydFLVH3TRQUabQu_ym0Zz7PgGX0-kHA/edit?usp=sharing"",""แผน!AE49"")"),2000)</f>
        <v>2000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IFERROR(__xludf.DUMMYFUNCTION("IMPORTRANGE(""https://docs.google.com/spreadsheets/d/1QqKyyYR6Q21VydFLVH3TRQUabQu_ym0Zz7PgGX0-kHA/edit?usp=sharing"",""แผน!AF49"")"),16000)</f>
        <v>16000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IFERROR(__xludf.DUMMYFUNCTION("IMPORTRANGE(""https://docs.google.com/spreadsheets/d/1QqKyyYR6Q21VydFLVH3TRQUabQu_ym0Zz7PgGX0-kHA/edit?usp=sharing"",""แผน!AG49"")"),8000)</f>
        <v>8000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IFERROR(__xludf.DUMMYFUNCTION("IMPORTRANGE(""https://docs.google.com/spreadsheets/d/1QqKyyYR6Q21VydFLVH3TRQUabQu_ym0Zz7PgGX0-kHA/edit?usp=sharing"",""แผน!AH49"")"),5000)</f>
        <v>5000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IFERROR(__xludf.DUMMYFUNCTION("IMPORTRANGE(""https://docs.google.com/spreadsheets/d/1QqKyyYR6Q21VydFLVH3TRQUabQu_ym0Zz7PgGX0-kHA/edit?usp=sharing"",""แผน!AI49"")"),2)</f>
        <v>2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1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1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IFERROR(__xludf.DUMMYFUNCTION("IMPORTRANGE(""https://docs.google.com/spreadsheets/d/1QqKyyYR6Q21VydFLVH3TRQUabQu_ym0Zz7PgGX0-kHA/edit?usp=sharing"",""แผน!AK49"")"),1000)</f>
        <v>1000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IFERROR(__xludf.DUMMYFUNCTION("IMPORTRANGE(""https://docs.google.com/spreadsheets/d/1QqKyyYR6Q21VydFLVH3TRQUabQu_ym0Zz7PgGX0-kHA/edit?usp=sharing"",""แผน!AL49"")"),5000)</f>
        <v>5000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IFERROR(__xludf.DUMMYFUNCTION("IMPORTRANGE(""https://docs.google.com/spreadsheets/d/1QqKyyYR6Q21VydFLVH3TRQUabQu_ym0Zz7PgGX0-kHA/edit?usp=sharing"",""แผน!AM49"")"),8000)</f>
        <v>8000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IFERROR(__xludf.DUMMYFUNCTION("IMPORTRANGE(""https://docs.google.com/spreadsheets/d/1QqKyyYR6Q21VydFLVH3TRQUabQu_ym0Zz7PgGX0-kHA/edit?usp=sharing"",""แผน!AN49"")"),1)</f>
        <v>1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IFERROR(__xludf.DUMMYFUNCTION("IMPORTRANGE(""https://docs.google.com/spreadsheets/d/1QqKyyYR6Q21VydFLVH3TRQUabQu_ym0Zz7PgGX0-kHA/edit?usp=sharing"",""แผน!AN49"")"),1)</f>
        <v>1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64000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IFERROR(__xludf.DUMMYFUNCTION("IMPORTRANGE(""https://docs.google.com/spreadsheets/d/1QqKyyYR6Q21VydFLVH3TRQUabQu_ym0Zz7PgGX0-kHA/edit?usp=sharing"",""แผน!AP49"")"),5000)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IFERROR(__xludf.DUMMYFUNCTION("IMPORTRANGE(""https://docs.google.com/spreadsheets/d/1QqKyyYR6Q21VydFLVH3TRQUabQu_ym0Zz7PgGX0-kHA/edit?usp=sharing"",""แผน!AQ49"")"),17600)</f>
        <v>17600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IFERROR(__xludf.DUMMYFUNCTION("IMPORTRANGE(""https://docs.google.com/spreadsheets/d/1QqKyyYR6Q21VydFLVH3TRQUabQu_ym0Zz7PgGX0-kHA/edit?usp=sharing"",""แผน!AR49"")"),0)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IFERROR(__xludf.DUMMYFUNCTION("IMPORTRANGE(""https://docs.google.com/spreadsheets/d/1QqKyyYR6Q21VydFLVH3TRQUabQu_ym0Zz7PgGX0-kHA/edit?usp=sharing"",""แผน!AT49"")"),64000)</f>
        <v>64000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IFERROR(__xludf.DUMMYFUNCTION("IMPORTRANGE(""https://docs.google.com/spreadsheets/d/1QqKyyYR6Q21VydFLVH3TRQUabQu_ym0Zz7PgGX0-kHA/edit?usp=sharing"",""แผน!AT49"")"),64000)</f>
        <v>64000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IFERROR(__xludf.DUMMYFUNCTION("IMPORTRANGE(""https://docs.google.com/spreadsheets/d/1QqKyyYR6Q21VydFLVH3TRQUabQu_ym0Zz7PgGX0-kHA/edit?usp=sharing"",""แผน!AS49"")"),0)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IFERROR(__xludf.DUMMYFUNCTION("IMPORTRANGE(""https://docs.google.com/spreadsheets/d/1QqKyyYR6Q21VydFLVH3TRQUabQu_ym0Zz7PgGX0-kHA/edit?usp=sharing"",""แผน!AV49"")"),0)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IFERROR(__xludf.DUMMYFUNCTION("IMPORTRANGE(""https://docs.google.com/spreadsheets/d/1QqKyyYR6Q21VydFLVH3TRQUabQu_ym0Zz7PgGX0-kHA/edit?usp=sharing"",""แผน!AW49"")"),0)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IFERROR(__xludf.DUMMYFUNCTION("IMPORTRANGE(""https://docs.google.com/spreadsheets/d/1QqKyyYR6Q21VydFLVH3TRQUabQu_ym0Zz7PgGX0-kHA/edit?usp=sharing"",""แผน!AX49"")"),0)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IFERROR(__xludf.DUMMYFUNCTION("IMPORTRANGE(""https://docs.google.com/spreadsheets/d/1QqKyyYR6Q21VydFLVH3TRQUabQu_ym0Zz7PgGX0-kHA/edit?usp=sharing"",""แผน!AY49"")"),0)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IFERROR(__xludf.DUMMYFUNCTION("IMPORTRANGE(""https://docs.google.com/spreadsheets/d/1QqKyyYR6Q21VydFLVH3TRQUabQu_ym0Zz7PgGX0-kHA/edit?usp=sharing"",""แผน!BE49"")"),0)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IFERROR(__xludf.DUMMYFUNCTION("IMPORTRANGE(""https://docs.google.com/spreadsheets/d/1QqKyyYR6Q21VydFLVH3TRQUabQu_ym0Zz7PgGX0-kHA/edit?usp=sharing"",""แผน!AZ49"")"),0)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IFERROR(__xludf.DUMMYFUNCTION("IMPORTRANGE(""https://docs.google.com/spreadsheets/d/1QqKyyYR6Q21VydFLVH3TRQUabQu_ym0Zz7PgGX0-kHA/edit?usp=sharing"",""แผน!BA49"")"),0)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IFERROR(__xludf.DUMMYFUNCTION("IMPORTRANGE(""https://docs.google.com/spreadsheets/d/1QqKyyYR6Q21VydFLVH3TRQUabQu_ym0Zz7PgGX0-kHA/edit?usp=sharing"",""แผน!BB49"")"),0)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IFERROR(__xludf.DUMMYFUNCTION("IMPORTRANGE(""https://docs.google.com/spreadsheets/d/1QqKyyYR6Q21VydFLVH3TRQUabQu_ym0Zz7PgGX0-kHA/edit?usp=sharing"",""แผน!BC49"")"),0)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IFERROR(__xludf.DUMMYFUNCTION("IMPORTRANGE(""https://docs.google.com/spreadsheets/d/1QqKyyYR6Q21VydFLVH3TRQUabQu_ym0Zz7PgGX0-kHA/edit?usp=sharing"",""แผน!BF49"")"),0)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24</v>
      </c>
      <c r="J260" s="252">
        <f t="shared" si="114"/>
        <v>24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28800</v>
      </c>
      <c r="M261" s="155">
        <f t="shared" ca="1" si="115"/>
        <v>25800</v>
      </c>
      <c r="N261" s="155">
        <f t="shared" ca="1" si="115"/>
        <v>24280</v>
      </c>
      <c r="O261" s="155">
        <f t="shared" ref="O261:O269" ca="1" si="116">IF(L261&gt;0,N261*100/L261,0)</f>
        <v>84.305555555555557</v>
      </c>
      <c r="P261" s="155">
        <f t="shared" ref="P261:P269" ca="1" si="117">IF(M261&gt;0,N261*100/M261,0)</f>
        <v>94.108527131782949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28800</v>
      </c>
      <c r="M263" s="93">
        <f t="shared" ca="1" si="118"/>
        <v>25800</v>
      </c>
      <c r="N263" s="93">
        <f t="shared" ca="1" si="118"/>
        <v>24280</v>
      </c>
      <c r="O263" s="93">
        <f t="shared" ca="1" si="116"/>
        <v>84.305555555555557</v>
      </c>
      <c r="P263" s="93">
        <f t="shared" ca="1" si="117"/>
        <v>94.108527131782949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28800</v>
      </c>
      <c r="M264" s="496">
        <f t="shared" ca="1" si="119"/>
        <v>25800</v>
      </c>
      <c r="N264" s="496">
        <f t="shared" ca="1" si="119"/>
        <v>24280</v>
      </c>
      <c r="O264" s="496">
        <f t="shared" ca="1" si="116"/>
        <v>84.305555555555557</v>
      </c>
      <c r="P264" s="496">
        <f t="shared" ca="1" si="117"/>
        <v>94.108527131782949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IFERROR(__xludf.DUMMYFUNCTION("IMPORTRANGE(""https://docs.google.com/spreadsheets/d/1MeEWN-I1oV_STSDYn1IFDPWt_1FKiwhDph83XaGc0o0/edit?usp=sharing"",""งบพรบ!DD49"")"),25800)</f>
        <v>25800</v>
      </c>
      <c r="N266" s="93">
        <f ca="1">IFERROR(__xludf.DUMMYFUNCTION("IMPORTRANGE(""https://docs.google.com/spreadsheets/d/1MeEWN-I1oV_STSDYn1IFDPWt_1FKiwhDph83XaGc0o0/edit?usp=sharing"",""งบพรบ!DF49"")"),24280)</f>
        <v>24280</v>
      </c>
      <c r="O266" s="93">
        <f t="shared" ca="1" si="116"/>
        <v>84.305555555555557</v>
      </c>
      <c r="P266" s="93">
        <f t="shared" ca="1" si="117"/>
        <v>94.108527131782949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IFERROR(__xludf.DUMMYFUNCTION("IMPORTRANGE(""https://docs.google.com/spreadsheets/d/1QqKyyYR6Q21VydFLVH3TRQUabQu_ym0Zz7PgGX0-kHA/edit?usp=sharing"",""แผน!EA49"")"),24)</f>
        <v>24</v>
      </c>
      <c r="J271" s="214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0</v>
      </c>
      <c r="M280" s="496">
        <f t="shared" ca="1" si="128"/>
        <v>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IFERROR(__xludf.DUMMYFUNCTION("IMPORTRANGE(""https://docs.google.com/spreadsheets/d/1QqKyyYR6Q21VydFLVH3TRQUabQu_ym0Zz7PgGX0-kHA/edit?usp=sharing"",""แผน!EC49"")"),0)</f>
        <v>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IFERROR(__xludf.DUMMYFUNCTION("IMPORTRANGE(""https://docs.google.com/spreadsheets/d/1QqKyyYR6Q21VydFLVH3TRQUabQu_ym0Zz7PgGX0-kHA/edit?usp=sharing"",""แผน!EB49"")"),0)</f>
        <v>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343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343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IFERROR(__xludf.DUMMYFUNCTION("IMPORTRANGE(""https://docs.google.com/spreadsheets/d/1QqKyyYR6Q21VydFLVH3TRQUabQu_ym0Zz7PgGX0-kHA/edit?usp=sharing"",""แผน!EB49"")"),0)</f>
        <v>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0</v>
      </c>
      <c r="M301" s="496">
        <f t="shared" ca="1" si="138"/>
        <v>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IFERROR(__xludf.DUMMYFUNCTION("IMPORTRANGE(""https://docs.google.com/spreadsheets/d/1QqKyyYR6Q21VydFLVH3TRQUabQu_ym0Zz7PgGX0-kHA/edit?usp=sharing"",""แผน!ED49"")"),0)</f>
        <v>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IFERROR(__xludf.DUMMYFUNCTION("IMPORTRANGE(""https://docs.google.com/spreadsheets/d/1QqKyyYR6Q21VydFLVH3TRQUabQu_ym0Zz7PgGX0-kHA/edit?usp=sharing"",""แผน!ED49"")"),0)</f>
        <v>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IFERROR(__xludf.DUMMYFUNCTION("IMPORTRANGE(""https://docs.google.com/spreadsheets/d/1QqKyyYR6Q21VydFLVH3TRQUabQu_ym0Zz7PgGX0-kHA/edit?usp=sharing"",""แผน!ED49"")"),0)</f>
        <v>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IFERROR(__xludf.DUMMYFUNCTION("IMPORTRANGE(""https://docs.google.com/spreadsheets/d/1QqKyyYR6Q21VydFLVH3TRQUabQu_ym0Zz7PgGX0-kHA/edit?usp=sharing"",""แผน!EE49"")"),0)</f>
        <v>0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IFERROR(__xludf.DUMMYFUNCTION("IMPORTRANGE(""https://docs.google.com/spreadsheets/d/1QqKyyYR6Q21VydFLVH3TRQUabQu_ym0Zz7PgGX0-kHA/edit?usp=sharing"",""แผน!EF49"")"),0)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IFERROR(__xludf.DUMMYFUNCTION("IMPORTRANGE(""https://docs.google.com/spreadsheets/d/1QqKyyYR6Q21VydFLVH3TRQUabQu_ym0Zz7PgGX0-kHA/edit?usp=sharing"",""แผน!EG49"")"),1900)</f>
        <v>1900</v>
      </c>
      <c r="J327" s="443">
        <f ca="1">J338+J341+J342+J343</f>
        <v>210</v>
      </c>
      <c r="K327" s="444">
        <f ca="1">IF(I327&gt;0,J327*100/I327,0)</f>
        <v>11.052631578947368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166000</v>
      </c>
      <c r="M328" s="155">
        <f t="shared" ca="1" si="148"/>
        <v>83000</v>
      </c>
      <c r="N328" s="155">
        <f t="shared" ca="1" si="148"/>
        <v>19600</v>
      </c>
      <c r="O328" s="155">
        <f t="shared" ref="O328:O336" ca="1" si="149">IF(L328&gt;0,N328*100/L328,0)</f>
        <v>11.80722891566265</v>
      </c>
      <c r="P328" s="155">
        <f t="shared" ref="P328:P336" ca="1" si="150">IF(M328&gt;0,N328*100/M328,0)</f>
        <v>23.6144578313253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166000</v>
      </c>
      <c r="M330" s="93">
        <f t="shared" ca="1" si="151"/>
        <v>83000</v>
      </c>
      <c r="N330" s="93">
        <f t="shared" ca="1" si="151"/>
        <v>19600</v>
      </c>
      <c r="O330" s="93">
        <f t="shared" ca="1" si="149"/>
        <v>11.80722891566265</v>
      </c>
      <c r="P330" s="93">
        <f t="shared" ca="1" si="150"/>
        <v>23.6144578313253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166000</v>
      </c>
      <c r="M331" s="496">
        <f t="shared" ca="1" si="152"/>
        <v>83000</v>
      </c>
      <c r="N331" s="496">
        <f t="shared" ca="1" si="152"/>
        <v>19600</v>
      </c>
      <c r="O331" s="496">
        <f t="shared" ca="1" si="149"/>
        <v>11.80722891566265</v>
      </c>
      <c r="P331" s="496">
        <f t="shared" ca="1" si="150"/>
        <v>23.6144578313253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IFERROR(__xludf.DUMMYFUNCTION("IMPORTRANGE(""https://docs.google.com/spreadsheets/d/1MeEWN-I1oV_STSDYn1IFDPWt_1FKiwhDph83XaGc0o0/edit?usp=sharing"",""งบพรบ!ER49"")"),83000)</f>
        <v>83000</v>
      </c>
      <c r="N333" s="93">
        <f ca="1">IFERROR(__xludf.DUMMYFUNCTION("IMPORTRANGE(""https://docs.google.com/spreadsheets/d/1MeEWN-I1oV_STSDYn1IFDPWt_1FKiwhDph83XaGc0o0/edit?usp=sharing"",""งบพรบ!ET49"")"),19600)</f>
        <v>19600</v>
      </c>
      <c r="O333" s="93">
        <f t="shared" ca="1" si="149"/>
        <v>11.80722891566265</v>
      </c>
      <c r="P333" s="93">
        <f t="shared" ca="1" si="150"/>
        <v>23.6144578313253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IFERROR(__xludf.DUMMYFUNCTION("IMPORTRANGE(""https://docs.google.com/spreadsheets/d/1QqKyyYR6Q21VydFLVH3TRQUabQu_ym0Zz7PgGX0-kHA/edit?usp=sharing"",""แผน!EG49"")"),1900)</f>
        <v>1900</v>
      </c>
      <c r="J338" s="269">
        <f ca="1">IFERROR(__xludf.DUMMYFUNCTION("IMPORTRANGE(""https://docs.google.com/spreadsheets/d/1kVcqe37tkHyjCSG3S0O1AXqVkqjo8mSIZil3BcpIysc/edit?usp=sharing"",""ศูนย์!D49"")"),210)</f>
        <v>210</v>
      </c>
      <c r="K338" s="496">
        <f ca="1">IF(I338&gt;0,J338*100/I338,0)</f>
        <v>11.052631578947368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IFERROR(__xludf.DUMMYFUNCTION("IMPORTRANGE(""https://docs.google.com/spreadsheets/d/1QqKyyYR6Q21VydFLVH3TRQUabQu_ym0Zz7PgGX0-kHA/edit?usp=sharing"",""แผน!EH49"")"),4)</f>
        <v>4</v>
      </c>
      <c r="J340" s="269">
        <f ca="1">IFERROR(__xludf.DUMMYFUNCTION("IMPORTRANGE(""https://docs.google.com/spreadsheets/d/1kVcqe37tkHyjCSG3S0O1AXqVkqjo8mSIZil3BcpIysc/edit?usp=sharing"",""ศูนย์!E49"")"),0)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IFERROR(__xludf.DUMMYFUNCTION("IMPORTRANGE(""https://docs.google.com/spreadsheets/d/1kVcqe37tkHyjCSG3S0O1AXqVkqjo8mSIZil3BcpIysc/edit?usp=sharing"",""ศูนย์!F49"")"),0)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IFERROR(__xludf.DUMMYFUNCTION("IMPORTRANGE(""https://docs.google.com/spreadsheets/d/1kVcqe37tkHyjCSG3S0O1AXqVkqjo8mSIZil3BcpIysc/edit?usp=sharing"",""ศูนย์!G49"")"),0)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IFERROR(__xludf.DUMMYFUNCTION("IMPORTRANGE(""https://docs.google.com/spreadsheets/d/1kVcqe37tkHyjCSG3S0O1AXqVkqjo8mSIZil3BcpIysc/edit?usp=sharing"",""ศูนย์!H49"")"),0)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825530</v>
      </c>
      <c r="M345" s="155">
        <f t="shared" ca="1" si="154"/>
        <v>460470</v>
      </c>
      <c r="N345" s="155">
        <f t="shared" ca="1" si="154"/>
        <v>188020</v>
      </c>
      <c r="O345" s="155">
        <f t="shared" ref="O345:O353" ca="1" si="155">IF(L345&gt;0,N345*100/L345,0)</f>
        <v>22.77567138686662</v>
      </c>
      <c r="P345" s="155">
        <f t="shared" ref="P345:P353" ca="1" si="156">IF(M345&gt;0,N345*100/M345,0)</f>
        <v>40.83219319391057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825530</v>
      </c>
      <c r="M347" s="93">
        <f t="shared" ca="1" si="157"/>
        <v>460470</v>
      </c>
      <c r="N347" s="93">
        <f t="shared" ca="1" si="157"/>
        <v>188020</v>
      </c>
      <c r="O347" s="93">
        <f t="shared" ca="1" si="155"/>
        <v>22.77567138686662</v>
      </c>
      <c r="P347" s="93">
        <f t="shared" ca="1" si="156"/>
        <v>40.83219319391057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730130</v>
      </c>
      <c r="M348" s="496">
        <f t="shared" ca="1" si="158"/>
        <v>365070</v>
      </c>
      <c r="N348" s="496">
        <f t="shared" ca="1" si="158"/>
        <v>92620</v>
      </c>
      <c r="O348" s="496">
        <f t="shared" ca="1" si="155"/>
        <v>12.685412186870831</v>
      </c>
      <c r="P348" s="496">
        <f t="shared" ca="1" si="156"/>
        <v>25.370476894842085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IFERROR(__xludf.DUMMYFUNCTION("IMPORTRANGE(""https://docs.google.com/spreadsheets/d/1MeEWN-I1oV_STSDYn1IFDPWt_1FKiwhDph83XaGc0o0/edit?usp=sharing"",""งบพรบ!FB49"")"),365070)</f>
        <v>365070</v>
      </c>
      <c r="N350" s="93">
        <f ca="1">IFERROR(__xludf.DUMMYFUNCTION("IMPORTRANGE(""https://docs.google.com/spreadsheets/d/1MeEWN-I1oV_STSDYn1IFDPWt_1FKiwhDph83XaGc0o0/edit?usp=sharing"",""งบพรบ!FD49"")"),92620)</f>
        <v>92620</v>
      </c>
      <c r="O350" s="93">
        <f t="shared" ca="1" si="155"/>
        <v>12.685412186870831</v>
      </c>
      <c r="P350" s="93">
        <f t="shared" ca="1" si="156"/>
        <v>25.370476894842085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95400</v>
      </c>
      <c r="M351" s="496">
        <f t="shared" ca="1" si="159"/>
        <v>95400</v>
      </c>
      <c r="N351" s="496">
        <f t="shared" ca="1" si="159"/>
        <v>95400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IFERROR(__xludf.DUMMYFUNCTION("IMPORTRANGE(""https://docs.google.com/spreadsheets/d/1QqKyyYR6Q21VydFLVH3TRQUabQu_ym0Zz7PgGX0-kHA/edit?usp=sharing"",""แผน!EP49"")"),210)</f>
        <v>210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IFERROR(__xludf.DUMMYFUNCTION("IMPORTRANGE(""https://docs.google.com/spreadsheets/d/1XWAQStnk-4SwqDmLtmXYiTMKHgktTP8We1SCoS47DrQ/edit?usp=sharing"",""จัดที่ดิน!W49"")"),0)</f>
        <v>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IFERROR(__xludf.DUMMYFUNCTION("IMPORTRANGE(""https://docs.google.com/spreadsheets/d/1QqKyyYR6Q21VydFLVH3TRQUabQu_ym0Zz7PgGX0-kHA/edit?usp=sharing"",""แผน!EO49"")"),2000)</f>
        <v>2000</v>
      </c>
      <c r="J359" s="269">
        <f ca="1">IFERROR(__xludf.DUMMYFUNCTION("IMPORTRANGE(""https://docs.google.com/spreadsheets/d/1XWAQStnk-4SwqDmLtmXYiTMKHgktTP8We1SCoS47DrQ/edit?usp=sharing"",""จัดที่ดิน!X49"")"),0)</f>
        <v>0</v>
      </c>
      <c r="K359" s="496">
        <f t="shared" ca="1" si="160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IFERROR(__xludf.DUMMYFUNCTION("IMPORTRANGE(""https://docs.google.com/spreadsheets/d/1QqKyyYR6Q21VydFLVH3TRQUabQu_ym0Zz7PgGX0-kHA/edit?usp=sharing"",""แผน!EP49"")"),210)</f>
        <v>210</v>
      </c>
      <c r="J360" s="269">
        <f ca="1">IFERROR(__xludf.DUMMYFUNCTION("IMPORTRANGE(""https://docs.google.com/spreadsheets/d/1XWAQStnk-4SwqDmLtmXYiTMKHgktTP8We1SCoS47DrQ/edit?usp=sharing"",""จัดที่ดิน!Y49"")"),0)</f>
        <v>0</v>
      </c>
      <c r="K360" s="496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IFERROR(__xludf.DUMMYFUNCTION("IMPORTRANGE(""https://docs.google.com/spreadsheets/d/1XWAQStnk-4SwqDmLtmXYiTMKHgktTP8We1SCoS47DrQ/edit?usp=sharing"",""จัดที่ดิน!Z49"")"),0)</f>
        <v>0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IFERROR(__xludf.DUMMYFUNCTION("IMPORTRANGE(""https://docs.google.com/spreadsheets/d/1QqKyyYR6Q21VydFLVH3TRQUabQu_ym0Zz7PgGX0-kHA/edit?usp=sharing"",""แผน!EP49"")"),210)</f>
        <v>210</v>
      </c>
      <c r="J362" s="269">
        <f ca="1">IFERROR(__xludf.DUMMYFUNCTION("IMPORTRANGE(""https://docs.google.com/spreadsheets/d/1XWAQStnk-4SwqDmLtmXYiTMKHgktTP8We1SCoS47DrQ/edit?usp=sharing"",""จัดที่ดิน!AA49"")"),0)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IFERROR(__xludf.DUMMYFUNCTION("IMPORTRANGE(""https://docs.google.com/spreadsheets/d/1XWAQStnk-4SwqDmLtmXYiTMKHgktTP8We1SCoS47DrQ/edit?usp=sharing"",""จัดที่ดิน!AB49"")"),0)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410</v>
      </c>
      <c r="J364" s="477">
        <f t="shared" ca="1" si="161"/>
        <v>79</v>
      </c>
      <c r="K364" s="478">
        <f t="shared" ca="1" si="160"/>
        <v>19.26829268292683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IFERROR(__xludf.DUMMYFUNCTION("IMPORTRANGE(""https://docs.google.com/spreadsheets/d/1QqKyyYR6Q21VydFLVH3TRQUabQu_ym0Zz7PgGX0-kHA/edit?usp=sharing"",""แผน!EJ49"")"),60)</f>
        <v>60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IFERROR(__xludf.DUMMYFUNCTION("IMPORTRANGE(""https://docs.google.com/spreadsheets/d/1XWAQStnk-4SwqDmLtmXYiTMKHgktTP8We1SCoS47DrQ/edit?usp=sharing"",""จัดที่ดิน!E49"")"),0)</f>
        <v>0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IFERROR(__xludf.DUMMYFUNCTION("IMPORTRANGE(""https://docs.google.com/spreadsheets/d/1QqKyyYR6Q21VydFLVH3TRQUabQu_ym0Zz7PgGX0-kHA/edit?usp=sharing"",""แผน!EI49"")"),500)</f>
        <v>500</v>
      </c>
      <c r="J369" s="269">
        <f ca="1">IFERROR(__xludf.DUMMYFUNCTION("IMPORTRANGE(""https://docs.google.com/spreadsheets/d/1XWAQStnk-4SwqDmLtmXYiTMKHgktTP8We1SCoS47DrQ/edit?usp=sharing"",""จัดที่ดิน!F49"")"),0)</f>
        <v>0</v>
      </c>
      <c r="K369" s="496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IFERROR(__xludf.DUMMYFUNCTION("IMPORTRANGE(""https://docs.google.com/spreadsheets/d/1QqKyyYR6Q21VydFLVH3TRQUabQu_ym0Zz7PgGX0-kHA/edit?usp=sharing"",""แผน!EJ49"")"),60)</f>
        <v>60</v>
      </c>
      <c r="J370" s="269">
        <f ca="1">IFERROR(__xludf.DUMMYFUNCTION("IMPORTRANGE(""https://docs.google.com/spreadsheets/d/1XWAQStnk-4SwqDmLtmXYiTMKHgktTP8We1SCoS47DrQ/edit?usp=sharing"",""จัดที่ดิน!G49"")"),0)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IFERROR(__xludf.DUMMYFUNCTION("IMPORTRANGE(""https://docs.google.com/spreadsheets/d/1XWAQStnk-4SwqDmLtmXYiTMKHgktTP8We1SCoS47DrQ/edit?usp=sharing"",""จัดที่ดิน!H49"")"),0)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IFERROR(__xludf.DUMMYFUNCTION("IMPORTRANGE(""https://docs.google.com/spreadsheets/d/1QqKyyYR6Q21VydFLVH3TRQUabQu_ym0Zz7PgGX0-kHA/edit?usp=sharing"",""แผน!EJ49"")"),60)</f>
        <v>60</v>
      </c>
      <c r="J372" s="269">
        <f ca="1">IFERROR(__xludf.DUMMYFUNCTION("IMPORTRANGE(""https://docs.google.com/spreadsheets/d/1XWAQStnk-4SwqDmLtmXYiTMKHgktTP8We1SCoS47DrQ/edit?usp=sharing"",""จัดที่ดิน!I49"")"),0)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IFERROR(__xludf.DUMMYFUNCTION("IMPORTRANGE(""https://docs.google.com/spreadsheets/d/1XWAQStnk-4SwqDmLtmXYiTMKHgktTP8We1SCoS47DrQ/edit?usp=sharing"",""จัดที่ดิน!J49"")"),0)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IFERROR(__xludf.DUMMYFUNCTION("IMPORTRANGE(""https://docs.google.com/spreadsheets/d/1QqKyyYR6Q21VydFLVH3TRQUabQu_ym0Zz7PgGX0-kHA/edit?usp=sharing"",""แผน!EU49"")"),350)</f>
        <v>350</v>
      </c>
      <c r="J374" s="489">
        <f ca="1">J381</f>
        <v>79</v>
      </c>
      <c r="K374" s="490">
        <f t="shared" ca="1" si="162"/>
        <v>22.571428571428573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IFERROR(__xludf.DUMMYFUNCTION("IMPORTRANGE(""https://docs.google.com/spreadsheets/d/1XWAQStnk-4SwqDmLtmXYiTMKHgktTP8We1SCoS47DrQ/edit?usp=sharing"",""จัดที่ดิน!AH49"")"),0)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IFERROR(__xludf.DUMMYFUNCTION("IMPORTRANGE(""https://docs.google.com/spreadsheets/d/1QqKyyYR6Q21VydFLVH3TRQUabQu_ym0Zz7PgGX0-kHA/edit?usp=sharing"",""แผน!ET49"")"),1500)</f>
        <v>1500</v>
      </c>
      <c r="J378" s="269">
        <f ca="1">IFERROR(__xludf.DUMMYFUNCTION("IMPORTRANGE(""https://docs.google.com/spreadsheets/d/1XWAQStnk-4SwqDmLtmXYiTMKHgktTP8We1SCoS47DrQ/edit?usp=sharing"",""จัดที่ดิน!AI49"")"),0)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IFERROR(__xludf.DUMMYFUNCTION("IMPORTRANGE(""https://docs.google.com/spreadsheets/d/1QqKyyYR6Q21VydFLVH3TRQUabQu_ym0Zz7PgGX0-kHA/edit?usp=sharing"",""แผน!EU49"")"),350)</f>
        <v>350</v>
      </c>
      <c r="J379" s="269">
        <f ca="1">IFERROR(__xludf.DUMMYFUNCTION("IMPORTRANGE(""https://docs.google.com/spreadsheets/d/1XWAQStnk-4SwqDmLtmXYiTMKHgktTP8We1SCoS47DrQ/edit?usp=sharing"",""จัดที่ดิน!AJ49"")"),79)</f>
        <v>79</v>
      </c>
      <c r="K379" s="496">
        <f t="shared" ca="1" si="163"/>
        <v>22.571428571428573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IFERROR(__xludf.DUMMYFUNCTION("IMPORTRANGE(""https://docs.google.com/spreadsheets/d/1XWAQStnk-4SwqDmLtmXYiTMKHgktTP8We1SCoS47DrQ/edit?usp=sharing"",""จัดที่ดิน!AK49"")"),721.62)</f>
        <v>721.62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IFERROR(__xludf.DUMMYFUNCTION("IMPORTRANGE(""https://docs.google.com/spreadsheets/d/1QqKyyYR6Q21VydFLVH3TRQUabQu_ym0Zz7PgGX0-kHA/edit?usp=sharing"",""แผน!EU49"")"),350)</f>
        <v>350</v>
      </c>
      <c r="J381" s="269">
        <f ca="1">IFERROR(__xludf.DUMMYFUNCTION("IMPORTRANGE(""https://docs.google.com/spreadsheets/d/1XWAQStnk-4SwqDmLtmXYiTMKHgktTP8We1SCoS47DrQ/edit?usp=sharing"",""จัดที่ดิน!AL49"")"),79)</f>
        <v>79</v>
      </c>
      <c r="K381" s="496">
        <f t="shared" ca="1" si="163"/>
        <v>22.571428571428573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IFERROR(__xludf.DUMMYFUNCTION("IMPORTRANGE(""https://docs.google.com/spreadsheets/d/1XWAQStnk-4SwqDmLtmXYiTMKHgktTP8We1SCoS47DrQ/edit?usp=sharing"",""จัดที่ดิน!AM49"")"),721.62)</f>
        <v>721.62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IFERROR(__xludf.DUMMYFUNCTION("IMPORTRANGE(""https://docs.google.com/spreadsheets/d/1QqKyyYR6Q21VydFLVH3TRQUabQu_ym0Zz7PgGX0-kHA/edit?usp=sharing"",""แผน!EW49"")"),30)</f>
        <v>30</v>
      </c>
      <c r="J385" s="499">
        <f ca="1">IFERROR(__xludf.DUMMYFUNCTION("IMPORTRANGE(""https://docs.google.com/spreadsheets/d/1XWAQStnk-4SwqDmLtmXYiTMKHgktTP8We1SCoS47DrQ/edit?usp=sharing"",""จัดที่ดิน!AP49"")"),0)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1452461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IFERROR(__xludf.DUMMYFUNCTION("IMPORTRANGE(""https://docs.google.com/spreadsheets/d/1QqKyyYR6Q21VydFLVH3TRQUabQu_ym0Zz7PgGX0-kHA/edit?usp=sharing"",""แผน!EY49"")"),78660)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IFERROR(__xludf.DUMMYFUNCTION("IMPORTRANGE(""https://docs.google.com/spreadsheets/d/1QqKyyYR6Q21VydFLVH3TRQUabQu_ym0Zz7PgGX0-kHA/edit?usp=sharing"",""แผน!FC49"")"),20)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IFERROR(__xludf.DUMMYFUNCTION("IMPORTRANGE(""https://docs.google.com/spreadsheets/d/1QqKyyYR6Q21VydFLVH3TRQUabQu_ym0Zz7PgGX0-kHA/edit?usp=sharing"",""แผน!FD49"")"),0)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IFERROR(__xludf.DUMMYFUNCTION("IMPORTRANGE(""https://docs.google.com/spreadsheets/d/1QqKyyYR6Q21VydFLVH3TRQUabQu_ym0Zz7PgGX0-kHA/edit?usp=sharing"",""แผน!FE49"")"),0)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IFERROR(__xludf.DUMMYFUNCTION("IMPORTRANGE(""https://docs.google.com/spreadsheets/d/1QqKyyYR6Q21VydFLVH3TRQUabQu_ym0Zz7PgGX0-kHA/edit?usp=sharing"",""แผน!FF49"")"),20)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IFERROR(__xludf.DUMMYFUNCTION("IMPORTRANGE(""https://docs.google.com/spreadsheets/d/1QqKyyYR6Q21VydFLVH3TRQUabQu_ym0Zz7PgGX0-kHA/edit?usp=sharing"",""แผน!FG49"")"),1)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IFERROR(__xludf.DUMMYFUNCTION("IMPORTRANGE(""https://docs.google.com/spreadsheets/d/1QqKyyYR6Q21VydFLVH3TRQUabQu_ym0Zz7PgGX0-kHA/edit?usp=sharing"",""แผน!FH49"")"),0)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30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150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211480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211480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211480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IFERROR(__xludf.DUMMYFUNCTION("IMPORTRANGE(""https://docs.google.com/spreadsheets/d/1QqKyyYR6Q21VydFLVH3TRQUabQu_ym0Zz7PgGX0-kHA/edit?usp=sharing"",""แผน!FN49"")"),30)</f>
        <v>30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IFERROR(__xludf.DUMMYFUNCTION("IMPORTRANGE(""https://docs.google.com/spreadsheets/d/1QqKyyYR6Q21VydFLVH3TRQUabQu_ym0Zz7PgGX0-kHA/edit?usp=sharing"",""แผน!FO49"")"),150)</f>
        <v>150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IFERROR(__xludf.DUMMYFUNCTION("IMPORTRANGE(""https://docs.google.com/spreadsheets/d/1QqKyyYR6Q21VydFLVH3TRQUabQu_ym0Zz7PgGX0-kHA/edit?usp=sharing"",""แผน!FO49"")"),150)</f>
        <v>150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IFERROR(__xludf.DUMMYFUNCTION("IMPORTRANGE(""https://docs.google.com/spreadsheets/d/1QqKyyYR6Q21VydFLVH3TRQUabQu_ym0Zz7PgGX0-kHA/edit?usp=sharing"",""แผน!FN49"")"),30)</f>
        <v>30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IFERROR(__xludf.DUMMYFUNCTION("IMPORTRANGE(""https://docs.google.com/spreadsheets/d/1QqKyyYR6Q21VydFLVH3TRQUabQu_ym0Zz7PgGX0-kHA/edit?usp=sharing"",""แผน!FX49"")"),51)</f>
        <v>51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IFERROR(__xludf.DUMMYFUNCTION("IMPORTRANGE(""https://docs.google.com/spreadsheets/d/1QqKyyYR6Q21VydFLVH3TRQUabQu_ym0Zz7PgGX0-kHA/edit?usp=sharing"",""แผน!FW49"")"),500)</f>
        <v>500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403983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403983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403983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IFERROR(__xludf.DUMMYFUNCTION("IMPORTRANGE(""https://docs.google.com/spreadsheets/d/1QqKyyYR6Q21VydFLVH3TRQUabQu_ym0Zz7PgGX0-kHA/edit?usp=sharing"",""แผน!FS49"")"),403983)</f>
        <v>403983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IFERROR(__xludf.DUMMYFUNCTION("IMPORTRANGE(""https://docs.google.com/spreadsheets/d/1QqKyyYR6Q21VydFLVH3TRQUabQu_ym0Zz7PgGX0-kHA/edit?usp=sharing"",""แผน!FY49"")"),450)</f>
        <v>450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IFERROR(__xludf.DUMMYFUNCTION("IMPORTRANGE(""https://docs.google.com/spreadsheets/d/1QqKyyYR6Q21VydFLVH3TRQUabQu_ym0Zz7PgGX0-kHA/edit?usp=sharing"",""แผน!FZ49"")"),45)</f>
        <v>45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IFERROR(__xludf.DUMMYFUNCTION("IMPORTRANGE(""https://docs.google.com/spreadsheets/d/1QqKyyYR6Q21VydFLVH3TRQUabQu_ym0Zz7PgGX0-kHA/edit?usp=sharing"",""แผน!GA49"")"),50)</f>
        <v>50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IFERROR(__xludf.DUMMYFUNCTION("IMPORTRANGE(""https://docs.google.com/spreadsheets/d/1QqKyyYR6Q21VydFLVH3TRQUabQu_ym0Zz7PgGX0-kHA/edit?usp=sharing"",""แผน!GB49"")"),5)</f>
        <v>5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IFERROR(__xludf.DUMMYFUNCTION("IMPORTRANGE(""https://docs.google.com/spreadsheets/d/1QqKyyYR6Q21VydFLVH3TRQUabQu_ym0Zz7PgGX0-kHA/edit?usp=sharing"",""แผน!GC49"")"),1)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IFERROR(__xludf.DUMMYFUNCTION("IMPORTRANGE(""https://docs.google.com/spreadsheets/d/1QqKyyYR6Q21VydFLVH3TRQUabQu_ym0Zz7PgGX0-kHA/edit?usp=sharing"",""แผน!FY49"")"),450)</f>
        <v>450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IFERROR(__xludf.DUMMYFUNCTION("IMPORTRANGE(""https://docs.google.com/spreadsheets/d/1QqKyyYR6Q21VydFLVH3TRQUabQu_ym0Zz7PgGX0-kHA/edit?usp=sharing"",""แผน!GA49"")"),50)</f>
        <v>50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IFERROR(__xludf.DUMMYFUNCTION("IMPORTRANGE(""https://docs.google.com/spreadsheets/d/1QqKyyYR6Q21VydFLVH3TRQUabQu_ym0Zz7PgGX0-kHA/edit?usp=sharing"",""แผน!GU49"")"),0)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IFERROR(__xludf.DUMMYFUNCTION("IMPORTRANGE(""https://docs.google.com/spreadsheets/d/1QqKyyYR6Q21VydFLVH3TRQUabQu_ym0Zz7PgGX0-kHA/edit?usp=sharing"",""แผน!GV49"")"),0)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IFERROR(__xludf.DUMMYFUNCTION("IMPORTRANGE(""https://docs.google.com/spreadsheets/d/1QqKyyYR6Q21VydFLVH3TRQUabQu_ym0Zz7PgGX0-kHA/edit?usp=sharing"",""แผน!GW49"")"),0)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IFERROR(__xludf.DUMMYFUNCTION("IMPORTRANGE(""https://docs.google.com/spreadsheets/d/1QqKyyYR6Q21VydFLVH3TRQUabQu_ym0Zz7PgGX0-kHA/edit?usp=sharing"",""แผน!GX49"")"),0)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IFERROR(__xludf.DUMMYFUNCTION("IMPORTRANGE(""https://docs.google.com/spreadsheets/d/1QqKyyYR6Q21VydFLVH3TRQUabQu_ym0Zz7PgGX0-kHA/edit?usp=sharing"",""แผน!GY49"")"),0)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IFERROR(__xludf.DUMMYFUNCTION("IMPORTRANGE(""https://docs.google.com/spreadsheets/d/1QqKyyYR6Q21VydFLVH3TRQUabQu_ym0Zz7PgGX0-kHA/edit?usp=sharing"",""แผน!GZ49"")"),0)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22152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396513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396513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396513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IFERROR(__xludf.DUMMYFUNCTION("IMPORTRANGE(""https://docs.google.com/spreadsheets/d/1QqKyyYR6Q21VydFLVH3TRQUabQu_ym0Zz7PgGX0-kHA/edit?usp=sharing"",""แผน!HB49"")"),396513)</f>
        <v>396513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22152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1064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IFERROR(__xludf.DUMMYFUNCTION("IMPORTRANGE(""https://docs.google.com/spreadsheets/d/1QqKyyYR6Q21VydFLVH3TRQUabQu_ym0Zz7PgGX0-kHA/edit?usp=sharing"",""แผน!HJ49"")"),1064)</f>
        <v>1064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IFERROR(__xludf.DUMMYFUNCTION("IMPORTRANGE(""https://docs.google.com/spreadsheets/d/1QqKyyYR6Q21VydFLVH3TRQUabQu_ym0Zz7PgGX0-kHA/edit?usp=sharing"",""แผน!HL49"")"),0)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IFERROR(__xludf.DUMMYFUNCTION("IMPORTRANGE(""https://docs.google.com/spreadsheets/d/1QqKyyYR6Q21VydFLVH3TRQUabQu_ym0Zz7PgGX0-kHA/edit?usp=sharing"",""แผน!HK49"")"),0)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90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349485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349485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349485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IFERROR(__xludf.DUMMYFUNCTION("IMPORTRANGE(""https://docs.google.com/spreadsheets/d/1QqKyyYR6Q21VydFLVH3TRQUabQu_ym0Zz7PgGX0-kHA/edit?usp=sharing"",""แผน!HR49"")"),0)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IFERROR(__xludf.DUMMYFUNCTION("IMPORTRANGE(""https://docs.google.com/spreadsheets/d/1QqKyyYR6Q21VydFLVH3TRQUabQu_ym0Zz7PgGX0-kHA/edit?usp=sharing"",""แผน!HR49"")"),0)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IFERROR(__xludf.DUMMYFUNCTION("IMPORTRANGE(""https://docs.google.com/spreadsheets/d/1XWAQStnk-4SwqDmLtmXYiTMKHgktTP8We1SCoS47DrQ/edit?usp=sharing"",""จัดที่ดิน!AS49"")"),0)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IFERROR(__xludf.DUMMYFUNCTION("IMPORTRANGE(""https://docs.google.com/spreadsheets/d/1XWAQStnk-4SwqDmLtmXYiTMKHgktTP8We1SCoS47DrQ/edit?usp=sharing"",""จัดที่ดิน!AT49"")"),0)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IFERROR(__xludf.DUMMYFUNCTION("IMPORTRANGE(""https://docs.google.com/spreadsheets/d/1QqKyyYR6Q21VydFLVH3TRQUabQu_ym0Zz7PgGX0-kHA/edit?usp=sharing"",""แผน!HS49"")"),90)</f>
        <v>90</v>
      </c>
      <c r="J647" s="269">
        <f ca="1">IFERROR(__xludf.DUMMYFUNCTION("IMPORTRANGE(""https://docs.google.com/spreadsheets/d/1XWAQStnk-4SwqDmLtmXYiTMKHgktTP8We1SCoS47DrQ/edit?usp=sharing"",""จัดที่ดิน!AU49"")"),0)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IFERROR(__xludf.DUMMYFUNCTION("IMPORTRANGE(""https://docs.google.com/spreadsheets/d/1XWAQStnk-4SwqDmLtmXYiTMKHgktTP8We1SCoS47DrQ/edit?usp=sharing"",""จัดที่ดิน!AV49"")"),0)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IFERROR(__xludf.DUMMYFUNCTION("IMPORTRANGE(""https://docs.google.com/spreadsheets/d/1QqKyyYR6Q21VydFLVH3TRQUabQu_ym0Zz7PgGX0-kHA/edit?usp=sharing"",""แผน!HS49"")"),90)</f>
        <v>90</v>
      </c>
      <c r="J649" s="269">
        <f ca="1">IFERROR(__xludf.DUMMYFUNCTION("IMPORTRANGE(""https://docs.google.com/spreadsheets/d/1XWAQStnk-4SwqDmLtmXYiTMKHgktTP8We1SCoS47DrQ/edit?usp=sharing"",""จัดที่ดิน!AW49"")"),0)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IFERROR(__xludf.DUMMYFUNCTION("IMPORTRANGE(""https://docs.google.com/spreadsheets/d/1XWAQStnk-4SwqDmLtmXYiTMKHgktTP8We1SCoS47DrQ/edit?usp=sharing"",""จัดที่ดิน!AX49"")"),0)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IFERROR(__xludf.DUMMYFUNCTION("IMPORTRANGE(""https://docs.google.com/spreadsheets/d/1QqKyyYR6Q21VydFLVH3TRQUabQu_ym0Zz7PgGX0-kHA/edit?usp=sharing"",""แผน!HS49"")"),90)</f>
        <v>90</v>
      </c>
      <c r="J651" s="269">
        <f ca="1">IFERROR(__xludf.DUMMYFUNCTION("IMPORTRANGE(""https://docs.google.com/spreadsheets/d/1XWAQStnk-4SwqDmLtmXYiTMKHgktTP8We1SCoS47DrQ/edit?usp=sharing"",""จัดที่ดิน!AY49"")"),0)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IFERROR(__xludf.DUMMYFUNCTION("IMPORTRANGE(""https://docs.google.com/spreadsheets/d/1XWAQStnk-4SwqDmLtmXYiTMKHgktTP8We1SCoS47DrQ/edit?usp=sharing"",""จัดที่ดิน!AZ49"")"),0)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50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9400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9400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9400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IFERROR(__xludf.DUMMYFUNCTION("IMPORTRANGE(""https://docs.google.com/spreadsheets/d/1QqKyyYR6Q21VydFLVH3TRQUabQu_ym0Zz7PgGX0-kHA/edit?usp=sharing"",""แผน!IA49"")"),50)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IFERROR(__xludf.DUMMYFUNCTION("IMPORTRANGE(""https://docs.google.com/spreadsheets/d/1QqKyyYR6Q21VydFLVH3TRQUabQu_ym0Zz7PgGX0-kHA/edit?usp=sharing"",""แผน!HZ49"")"),4)</f>
        <v>4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IFERROR(__xludf.DUMMYFUNCTION("IMPORTRANGE(""https://docs.google.com/spreadsheets/d/1QqKyyYR6Q21VydFLVH3TRQUabQu_ym0Zz7PgGX0-kHA/edit?usp=sharing"",""แผน!HZ49"")"),4)</f>
        <v>4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IFERROR(__xludf.DUMMYFUNCTION("IMPORTRANGE(""https://docs.google.com/spreadsheets/d/1QqKyyYR6Q21VydFLVH3TRQUabQu_ym0Zz7PgGX0-kHA/edit?usp=sharing"",""แผน!IB49"")"),0)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2940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2940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2940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IFERROR(__xludf.DUMMYFUNCTION("IMPORTRANGE(""https://docs.google.com/spreadsheets/d/1QqKyyYR6Q21VydFLVH3TRQUabQu_ym0Zz7PgGX0-kHA/edit?usp=sharing"",""แผน!IC49"")"),18)</f>
        <v>18</v>
      </c>
      <c r="J699" s="269">
        <f ca="1">IFERROR(__xludf.DUMMYFUNCTION("IMPORTRANGE(""https://docs.google.com/spreadsheets/d/1XWAQStnk-4SwqDmLtmXYiTMKHgktTP8We1SCoS47DrQ/edit?usp=sharing"",""จัดที่ดิน!BB49"")"),0)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IFERROR(__xludf.DUMMYFUNCTION("IMPORTRANGE(""https://docs.google.com/spreadsheets/d/1QqKyyYR6Q21VydFLVH3TRQUabQu_ym0Zz7PgGX0-kHA/edit?usp=sharing"",""แผน!ID49"")"),0)</f>
        <v>0</v>
      </c>
      <c r="J700" s="269">
        <f ca="1">IFERROR(__xludf.DUMMYFUNCTION("IMPORTRANGE(""https://docs.google.com/spreadsheets/d/1XWAQStnk-4SwqDmLtmXYiTMKHgktTP8We1SCoS47DrQ/edit?usp=sharing"",""จัดที่ดิน!BD49"")"),0)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IFERROR(__xludf.DUMMYFUNCTION("IMPORTRANGE(""https://docs.google.com/spreadsheets/d/1QqKyyYR6Q21VydFLVH3TRQUabQu_ym0Zz7PgGX0-kHA/edit?usp=sharing"",""แผน!IE49"")"),0)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IFERROR(__xludf.DUMMYFUNCTION("IMPORTRANGE(""https://docs.google.com/spreadsheets/d/1QqKyyYR6Q21VydFLVH3TRQUabQu_ym0Zz7PgGX0-kHA/edit?usp=sharing"",""แผน!IF49"")"),0)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IFERROR(__xludf.DUMMYFUNCTION("IMPORTRANGE(""https://docs.google.com/spreadsheets/d/1QqKyyYR6Q21VydFLVH3TRQUabQu_ym0Zz7PgGX0-kHA/edit?usp=sharing"",""แผน!IG49"")"),0)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IFERROR(__xludf.DUMMYFUNCTION("IMPORTRANGE(""https://docs.google.com/spreadsheets/d/1QqKyyYR6Q21VydFLVH3TRQUabQu_ym0Zz7PgGX0-kHA/edit?usp=sharing"",""แผน!IH49"")"),7)</f>
        <v>7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IFERROR(__xludf.DUMMYFUNCTION("IMPORTRANGE(""https://docs.google.com/spreadsheets/d/1XWAQStnk-4SwqDmLtmXYiTMKHgktTP8We1SCoS47DrQ/edit?usp=sharing"",""จัดที่ดิน!BF49"")"),0)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IFERROR(__xludf.DUMMYFUNCTION("IMPORTRANGE(""https://docs.google.com/spreadsheets/d/1XWAQStnk-4SwqDmLtmXYiTMKHgktTP8We1SCoS47DrQ/edit?usp=sharing"",""จัดที่ดิน!BG49"")"),0)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IFERROR(__xludf.DUMMYFUNCTION("IMPORTRANGE(""https://docs.google.com/spreadsheets/d/1QqKyyYR6Q21VydFLVH3TRQUabQu_ym0Zz7PgGX0-kHA/edit?usp=sharing"",""แผน!II49"")"),0)</f>
        <v>0</v>
      </c>
      <c r="J720" s="269">
        <f ca="1">IFERROR(__xludf.DUMMYFUNCTION("IMPORTRANGE(""https://docs.google.com/spreadsheets/d/1XWAQStnk-4SwqDmLtmXYiTMKHgktTP8We1SCoS47DrQ/edit?usp=sharing"",""จัดที่ดิน!BH49"")"),0)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IFERROR(__xludf.DUMMYFUNCTION("IMPORTRANGE(""https://docs.google.com/spreadsheets/d/1QqKyyYR6Q21VydFLVH3TRQUabQu_ym0Zz7PgGX0-kHA/edit?usp=sharing"",""แผน!IJ49"")"),0)</f>
        <v>0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IFERROR(__xludf.DUMMYFUNCTION("IMPORTRANGE(""https://docs.google.com/spreadsheets/d/1QqKyyYR6Q21VydFLVH3TRQUabQu_ym0Zz7PgGX0-kHA/edit?usp=sharing"",""แผน!IK49"")"),0)</f>
        <v>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IFERROR(__xludf.DUMMYFUNCTION("IMPORTRANGE(""https://docs.google.com/spreadsheets/d/1QqKyyYR6Q21VydFLVH3TRQUabQu_ym0Zz7PgGX0-kHA/edit?usp=sharing"",""แผน!IL49"")"),0)</f>
        <v>0</v>
      </c>
      <c r="J723" s="269">
        <f ca="1">IFERROR(__xludf.DUMMYFUNCTION("IMPORTRANGE(""https://docs.google.com/spreadsheets/d/1XWAQStnk-4SwqDmLtmXYiTMKHgktTP8We1SCoS47DrQ/edit?usp=sharing"",""จัดที่ดิน!BM49"")"),0)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IFERROR(__xludf.DUMMYFUNCTION("IMPORTRANGE(""https://docs.google.com/spreadsheets/d/1XWAQStnk-4SwqDmLtmXYiTMKHgktTP8We1SCoS47DrQ/edit?usp=sharing"",""จัดที่ดิน!BN49"")"),0)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IFERROR(__xludf.DUMMYFUNCTION("IMPORTRANGE(""https://docs.google.com/spreadsheets/d/1QqKyyYR6Q21VydFLVH3TRQUabQu_ym0Zz7PgGX0-kHA/edit?usp=sharing"",""แผน!IM49"")"),0)</f>
        <v>0</v>
      </c>
      <c r="J725" s="269">
        <f ca="1">IFERROR(__xludf.DUMMYFUNCTION("IMPORTRANGE(""https://docs.google.com/spreadsheets/d/1XWAQStnk-4SwqDmLtmXYiTMKHgktTP8We1SCoS47DrQ/edit?usp=sharing"",""จัดที่ดิน!BO49"")"),0)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IFERROR(__xludf.DUMMYFUNCTION("IMPORTRANGE(""https://docs.google.com/spreadsheets/d/1QqKyyYR6Q21VydFLVH3TRQUabQu_ym0Zz7PgGX0-kHA/edit?usp=sharing"",""แผน!IN49"")"),0)</f>
        <v>0</v>
      </c>
      <c r="J726" s="269">
        <f ca="1">IFERROR(__xludf.DUMMYFUNCTION("IMPORTRANGE(""https://docs.google.com/spreadsheets/d/1XWAQStnk-4SwqDmLtmXYiTMKHgktTP8We1SCoS47DrQ/edit?usp=sharing"",""จัดที่ดิน!BR49"")"),0)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IFERROR(__xludf.DUMMYFUNCTION("IMPORTRANGE(""https://docs.google.com/spreadsheets/d/1XWAQStnk-4SwqDmLtmXYiTMKHgktTP8We1SCoS47DrQ/edit?usp=sharing"",""จัดที่ดิน!BS49"")"),0)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IFERROR(__xludf.DUMMYFUNCTION("IMPORTRANGE(""https://docs.google.com/spreadsheets/d/1QqKyyYR6Q21VydFLVH3TRQUabQu_ym0Zz7PgGX0-kHA/edit?usp=sharing"",""แผน!IO49"")"),0)</f>
        <v>0</v>
      </c>
      <c r="J728" s="269">
        <f ca="1">IFERROR(__xludf.DUMMYFUNCTION("IMPORTRANGE(""https://docs.google.com/spreadsheets/d/1XWAQStnk-4SwqDmLtmXYiTMKHgktTP8We1SCoS47DrQ/edit?usp=sharing"",""จัดที่ดิน!BT49"")"),0)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IFERROR(__xludf.DUMMYFUNCTION("IMPORTRANGE(""https://docs.google.com/spreadsheets/d/1QqKyyYR6Q21VydFLVH3TRQUabQu_ym0Zz7PgGX0-kHA/edit?usp=sharing"",""แผน!IP49"")"),0)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IFERROR(__xludf.DUMMYFUNCTION("IMPORTRANGE(""https://docs.google.com/spreadsheets/d/1MaWodYyGHDf7siQLGxnXhG4mBNTNIuy296niS2xXulU/edit?usp=sharing"",""RTK!I49"")"),0)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69">
        <f ca="1">IFERROR(__xludf.DUMMYFUNCTION("IMPORTRANGE(""https://docs.google.com/spreadsheets/d/19vJNZY_5yjcGF2XGBMNZRCAIB0Kwfpjp8YEOfu-bneM/edit?usp=sharing"",""งานกองทุน!F49"")"),0)</f>
        <v>0</v>
      </c>
      <c r="K821" s="496">
        <f t="shared" ref="K821:K828" ca="1" si="334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IFERROR(__xludf.DUMMYFUNCTION("IMPORTRANGE(""https://docs.google.com/spreadsheets/d/19vJNZY_5yjcGF2XGBMNZRCAIB0Kwfpjp8YEOfu-bneM/edit?usp=sharing"",""งานกองทุน!C49"")"),416)</f>
        <v>416</v>
      </c>
      <c r="J822" s="269">
        <f ca="1">IFERROR(__xludf.DUMMYFUNCTION("IMPORTRANGE(""https://docs.google.com/spreadsheets/d/19vJNZY_5yjcGF2XGBMNZRCAIB0Kwfpjp8YEOfu-bneM/edit?usp=sharing"",""งานกองทุน!E49"")"),0)</f>
        <v>0</v>
      </c>
      <c r="K822" s="496">
        <f t="shared" ca="1" si="334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69">
        <f ca="1">IFERROR(__xludf.DUMMYFUNCTION("IMPORTRANGE(""https://docs.google.com/spreadsheets/d/19vJNZY_5yjcGF2XGBMNZRCAIB0Kwfpjp8YEOfu-bneM/edit?usp=sharing"",""งานกองทุน!K49"")"),7895.41)</f>
        <v>7895.41</v>
      </c>
      <c r="K823" s="496">
        <f t="shared" ca="1" si="334"/>
        <v>0.23739098396474856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IFERROR(__xludf.DUMMYFUNCTION("IMPORTRANGE(""https://docs.google.com/spreadsheets/d/19vJNZY_5yjcGF2XGBMNZRCAIB0Kwfpjp8YEOfu-bneM/edit?usp=sharing"",""งานกองทุน!H49"")"),192)</f>
        <v>192</v>
      </c>
      <c r="J824" s="269">
        <f ca="1">IFERROR(__xludf.DUMMYFUNCTION("IMPORTRANGE(""https://docs.google.com/spreadsheets/d/19vJNZY_5yjcGF2XGBMNZRCAIB0Kwfpjp8YEOfu-bneM/edit?usp=sharing"",""งานกองทุน!J49"")"),2)</f>
        <v>2</v>
      </c>
      <c r="K824" s="496">
        <f t="shared" ca="1" si="334"/>
        <v>1.0416666666666667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IFERROR(__xludf.DUMMYFUNCTION("IMPORTRANGE(""https://docs.google.com/spreadsheets/d/19vJNZY_5yjcGF2XGBMNZRCAIB0Kwfpjp8YEOfu-bneM/edit?usp=sharing"",""งานกองทุน!N49"")"),0)</f>
        <v>0</v>
      </c>
      <c r="J825" s="269">
        <f ca="1">IFERROR(__xludf.DUMMYFUNCTION("IMPORTRANGE(""https://docs.google.com/spreadsheets/d/19vJNZY_5yjcGF2XGBMNZRCAIB0Kwfpjp8YEOfu-bneM/edit?usp=sharing"",""งานกองทุน!P49"")"),0)</f>
        <v>0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IFERROR(__xludf.DUMMYFUNCTION("IMPORTRANGE(""https://docs.google.com/spreadsheets/d/19vJNZY_5yjcGF2XGBMNZRCAIB0Kwfpjp8YEOfu-bneM/edit?usp=sharing"",""งานกองทุน!M49"")"),0)</f>
        <v>0</v>
      </c>
      <c r="J826" s="269">
        <f ca="1">IFERROR(__xludf.DUMMYFUNCTION("IMPORTRANGE(""https://docs.google.com/spreadsheets/d/19vJNZY_5yjcGF2XGBMNZRCAIB0Kwfpjp8YEOfu-bneM/edit?usp=sharing"",""งานกองทุน!O49"")"),0)</f>
        <v>0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IFERROR(__xludf.DUMMYFUNCTION("IMPORTRANGE(""https://docs.google.com/spreadsheets/d/19vJNZY_5yjcGF2XGBMNZRCAIB0Kwfpjp8YEOfu-bneM/edit?usp=sharing"",""งานกองทุน!S49"")"),5000000)</f>
        <v>5000000</v>
      </c>
      <c r="J827" s="269">
        <f ca="1">IFERROR(__xludf.DUMMYFUNCTION("IMPORTRANGE(""https://docs.google.com/spreadsheets/d/19vJNZY_5yjcGF2XGBMNZRCAIB0Kwfpjp8YEOfu-bneM/edit?usp=sharing"",""งานกองทุน!U49"")"),0)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IFERROR(__xludf.DUMMYFUNCTION("IMPORTRANGE(""https://docs.google.com/spreadsheets/d/19vJNZY_5yjcGF2XGBMNZRCAIB0Kwfpjp8YEOfu-bneM/edit?usp=sharing"",""งานกองทุน!R49"")"),185)</f>
        <v>185</v>
      </c>
      <c r="J828" s="499">
        <f ca="1">IFERROR(__xludf.DUMMYFUNCTION("IMPORTRANGE(""https://docs.google.com/spreadsheets/d/19vJNZY_5yjcGF2XGBMNZRCAIB0Kwfpjp8YEOfu-bneM/edit?usp=sharing"",""งานกองทุน!T49"")"),35)</f>
        <v>35</v>
      </c>
      <c r="K828" s="500">
        <f t="shared" ca="1" si="334"/>
        <v>18.918918918918919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4A408-F515-401D-80AC-9E5CEC3DE03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329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6429167</v>
      </c>
      <c r="M8" s="21">
        <f t="shared" ca="1" si="0"/>
        <v>1848600</v>
      </c>
      <c r="N8" s="21">
        <f t="shared" ca="1" si="0"/>
        <v>781030.19000000006</v>
      </c>
      <c r="O8" s="21">
        <f t="shared" ref="O8:O16" ca="1" si="1">IF(L8&gt;0,N8*100/L8,0)</f>
        <v>12.148233044809693</v>
      </c>
      <c r="P8" s="21">
        <f t="shared" ref="P8:P16" ca="1" si="2">IF(M8&gt;0,N8*100/M8,0)</f>
        <v>42.249820945580439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6429167</v>
      </c>
      <c r="M10" s="30">
        <f t="shared" ca="1" si="3"/>
        <v>1848600</v>
      </c>
      <c r="N10" s="30">
        <f t="shared" ca="1" si="3"/>
        <v>781030.19000000006</v>
      </c>
      <c r="O10" s="30">
        <f t="shared" ca="1" si="1"/>
        <v>12.148233044809693</v>
      </c>
      <c r="P10" s="30">
        <f t="shared" ca="1" si="2"/>
        <v>42.249820945580439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6345367</v>
      </c>
      <c r="M11" s="496">
        <f t="shared" ca="1" si="4"/>
        <v>1764800</v>
      </c>
      <c r="N11" s="496">
        <f t="shared" ca="1" si="4"/>
        <v>697230.19000000006</v>
      </c>
      <c r="O11" s="496">
        <f t="shared" ca="1" si="1"/>
        <v>10.988019920675983</v>
      </c>
      <c r="P11" s="496">
        <f t="shared" ca="1" si="2"/>
        <v>39.50760369446963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6345367</v>
      </c>
      <c r="M13" s="93">
        <f t="shared" ca="1" si="5"/>
        <v>1764800</v>
      </c>
      <c r="N13" s="93">
        <f t="shared" ca="1" si="5"/>
        <v>697230.19000000006</v>
      </c>
      <c r="O13" s="93">
        <f t="shared" ca="1" si="1"/>
        <v>10.988019920675983</v>
      </c>
      <c r="P13" s="93">
        <f t="shared" ca="1" si="2"/>
        <v>39.50760369446963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83800</v>
      </c>
      <c r="M14" s="496">
        <f t="shared" ca="1" si="6"/>
        <v>83800</v>
      </c>
      <c r="N14" s="496">
        <f t="shared" ca="1" si="6"/>
        <v>83800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3619460</v>
      </c>
      <c r="M18" s="21">
        <f t="shared" ca="1" si="8"/>
        <v>1848600</v>
      </c>
      <c r="N18" s="21">
        <f t="shared" ca="1" si="8"/>
        <v>781030.19000000006</v>
      </c>
      <c r="O18" s="21">
        <f t="shared" ref="O18:O26" ca="1" si="9">IF(L18&gt;0,N18*100/L18,0)</f>
        <v>21.578638526188989</v>
      </c>
      <c r="P18" s="21">
        <f t="shared" ref="P18:P26" ca="1" si="10">IF(M18&gt;0,N18*100/M18,0)</f>
        <v>42.249820945580439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1848600</v>
      </c>
      <c r="N20" s="30">
        <f t="shared" ca="1" si="11"/>
        <v>781030.19000000006</v>
      </c>
      <c r="O20" s="30">
        <f t="shared" ca="1" si="9"/>
        <v>21.578638526188989</v>
      </c>
      <c r="P20" s="30">
        <f t="shared" ca="1" si="10"/>
        <v>42.249820945580439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3535660</v>
      </c>
      <c r="M21" s="496">
        <f t="shared" ca="1" si="12"/>
        <v>1764800</v>
      </c>
      <c r="N21" s="496">
        <f t="shared" ca="1" si="12"/>
        <v>697230.19000000006</v>
      </c>
      <c r="O21" s="496">
        <f t="shared" ca="1" si="9"/>
        <v>19.719944508238914</v>
      </c>
      <c r="P21" s="496">
        <f t="shared" ca="1" si="10"/>
        <v>39.50760369446963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3535660</v>
      </c>
      <c r="M23" s="93">
        <f t="shared" ca="1" si="13"/>
        <v>1764800</v>
      </c>
      <c r="N23" s="93">
        <f t="shared" ca="1" si="13"/>
        <v>697230.19000000006</v>
      </c>
      <c r="O23" s="93">
        <f t="shared" ca="1" si="9"/>
        <v>19.719944508238914</v>
      </c>
      <c r="P23" s="93">
        <f t="shared" ca="1" si="10"/>
        <v>39.50760369446963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83800</v>
      </c>
      <c r="M24" s="496">
        <f t="shared" ca="1" si="14"/>
        <v>83800</v>
      </c>
      <c r="N24" s="496">
        <f t="shared" ca="1" si="14"/>
        <v>83800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2809707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2809707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2809707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2809707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3619460</v>
      </c>
      <c r="M37" s="59">
        <f t="shared" ca="1" si="24"/>
        <v>1848600</v>
      </c>
      <c r="N37" s="59">
        <f t="shared" ca="1" si="24"/>
        <v>781030.19000000006</v>
      </c>
      <c r="O37" s="59">
        <f t="shared" ca="1" si="17"/>
        <v>21.578638526188989</v>
      </c>
      <c r="P37" s="59">
        <f t="shared" ca="1" si="18"/>
        <v>42.249820945580439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746550</v>
      </c>
      <c r="M41" s="84">
        <f t="shared" ca="1" si="25"/>
        <v>375300</v>
      </c>
      <c r="N41" s="84">
        <f t="shared" ca="1" si="25"/>
        <v>174824.19</v>
      </c>
      <c r="O41" s="84">
        <f t="shared" ref="O41:O49" ca="1" si="26">IF(L41&gt;0,N41*100/L41,0)</f>
        <v>23.417613019891501</v>
      </c>
      <c r="P41" s="84">
        <f t="shared" ref="P41:P49" ca="1" si="27">IF(M41&gt;0,N41*100/M41,0)</f>
        <v>46.58251798561151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375300</v>
      </c>
      <c r="N43" s="92">
        <f t="shared" ca="1" si="28"/>
        <v>174824.19</v>
      </c>
      <c r="O43" s="92">
        <f t="shared" ca="1" si="26"/>
        <v>23.417613019891501</v>
      </c>
      <c r="P43" s="92">
        <f t="shared" ca="1" si="27"/>
        <v>46.58251798561151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746550</v>
      </c>
      <c r="M44" s="496">
        <f t="shared" ca="1" si="29"/>
        <v>375300</v>
      </c>
      <c r="N44" s="496">
        <f t="shared" ca="1" si="29"/>
        <v>174824.19</v>
      </c>
      <c r="O44" s="496">
        <f t="shared" ca="1" si="26"/>
        <v>23.417613019891501</v>
      </c>
      <c r="P44" s="496">
        <f t="shared" ca="1" si="27"/>
        <v>46.58251798561151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IFERROR(__xludf.DUMMYFUNCTION("IMPORTRANGE(""https://docs.google.com/spreadsheets/d/1MeEWN-I1oV_STSDYn1IFDPWt_1FKiwhDph83XaGc0o0/edit?usp=sharing"",""งบพรบ!R32"")"),375300)</f>
        <v>375300</v>
      </c>
      <c r="N46" s="93">
        <f ca="1">IFERROR(__xludf.DUMMYFUNCTION("IMPORTRANGE(""https://docs.google.com/spreadsheets/d/1MeEWN-I1oV_STSDYn1IFDPWt_1FKiwhDph83XaGc0o0/edit?usp=sharing"",""งบพรบ!T32"")"),174824.19)</f>
        <v>174824.19</v>
      </c>
      <c r="O46" s="93">
        <f t="shared" ca="1" si="26"/>
        <v>23.417613019891501</v>
      </c>
      <c r="P46" s="93">
        <f t="shared" ca="1" si="27"/>
        <v>46.58251798561151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759500</v>
      </c>
      <c r="M53" s="115">
        <f t="shared" ca="1" si="31"/>
        <v>379750</v>
      </c>
      <c r="N53" s="115">
        <f t="shared" ca="1" si="31"/>
        <v>235915.13</v>
      </c>
      <c r="O53" s="115">
        <f t="shared" ref="O53:O61" ca="1" si="32">IF(L53&gt;0,N53*100/L53,0)</f>
        <v>31.061899934167215</v>
      </c>
      <c r="P53" s="115">
        <f t="shared" ref="P53:P61" ca="1" si="33">IF(M53&gt;0,N53*100/M53,0)</f>
        <v>62.12379986833443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379750</v>
      </c>
      <c r="N55" s="123">
        <f t="shared" ca="1" si="34"/>
        <v>235915.13</v>
      </c>
      <c r="O55" s="123">
        <f t="shared" ca="1" si="32"/>
        <v>31.061899934167215</v>
      </c>
      <c r="P55" s="123">
        <f t="shared" ca="1" si="33"/>
        <v>62.12379986833443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759500</v>
      </c>
      <c r="M56" s="496">
        <f t="shared" ca="1" si="35"/>
        <v>379750</v>
      </c>
      <c r="N56" s="496">
        <f t="shared" ca="1" si="35"/>
        <v>235915.13</v>
      </c>
      <c r="O56" s="496">
        <f t="shared" ca="1" si="32"/>
        <v>31.061899934167215</v>
      </c>
      <c r="P56" s="496">
        <f t="shared" ca="1" si="33"/>
        <v>62.12379986833443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IFERROR(__xludf.DUMMYFUNCTION("IMPORTRANGE(""https://docs.google.com/spreadsheets/d/1MeEWN-I1oV_STSDYn1IFDPWt_1FKiwhDph83XaGc0o0/edit?usp=sharing"",""งบพรบ!AB32"")"),379750)</f>
        <v>379750</v>
      </c>
      <c r="N58" s="93">
        <f ca="1">IFERROR(__xludf.DUMMYFUNCTION("IMPORTRANGE(""https://docs.google.com/spreadsheets/d/1MeEWN-I1oV_STSDYn1IFDPWt_1FKiwhDph83XaGc0o0/edit?usp=sharing"",""งบพรบ!AD32"")"),235915.13)</f>
        <v>235915.13</v>
      </c>
      <c r="O58" s="93">
        <f t="shared" ca="1" si="32"/>
        <v>31.061899934167215</v>
      </c>
      <c r="P58" s="93">
        <f t="shared" ca="1" si="33"/>
        <v>62.12379986833443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56040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56040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56040</v>
      </c>
      <c r="M91" s="496">
        <f t="shared" ca="1" si="53"/>
        <v>21840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IFERROR(__xludf.DUMMYFUNCTION("IMPORTRANGE(""https://docs.google.com/spreadsheets/d/1MeEWN-I1oV_STSDYn1IFDPWt_1FKiwhDph83XaGc0o0/edit?usp=sharing"",""งบพรบ!AV32"")"),21840)</f>
        <v>21840</v>
      </c>
      <c r="N93" s="93">
        <f ca="1">IFERROR(__xludf.DUMMYFUNCTION("IMPORTRANGE(""https://docs.google.com/spreadsheets/d/1MeEWN-I1oV_STSDYn1IFDPWt_1FKiwhDph83XaGc0o0/edit?usp=sharing"",""งบพรบ!AX32"")"),0)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IFERROR(__xludf.DUMMYFUNCTION("IMPORTRANGE(""https://docs.google.com/spreadsheets/d/1QqKyyYR6Q21VydFLVH3TRQUabQu_ym0Zz7PgGX0-kHA/edit?usp=sharing"",""แผน!K32"")"),30)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IFERROR(__xludf.DUMMYFUNCTION("IMPORTRANGE(""https://docs.google.com/spreadsheets/d/1QqKyyYR6Q21VydFLVH3TRQUabQu_ym0Zz7PgGX0-kHA/edit?usp=sharing"",""แผน!L32"")"),10)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IFERROR(__xludf.DUMMYFUNCTION("IMPORTRANGE(""https://docs.google.com/spreadsheets/d/1QqKyyYR6Q21VydFLVH3TRQUabQu_ym0Zz7PgGX0-kHA/edit?usp=sharing"",""แผน!M32"")"),1)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IFERROR(__xludf.DUMMYFUNCTION("IMPORTRANGE(""https://docs.google.com/spreadsheets/d/1QqKyyYR6Q21VydFLVH3TRQUabQu_ym0Zz7PgGX0-kHA/edit?usp=sharing"",""แผน!N32"")"),30)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IFERROR(__xludf.DUMMYFUNCTION("IMPORTRANGE(""https://docs.google.com/spreadsheets/d/1QqKyyYR6Q21VydFLVH3TRQUabQu_ym0Zz7PgGX0-kHA/edit?usp=sharing"",""แผน!O32"")"),10)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IFERROR(__xludf.DUMMYFUNCTION("IMPORTRANGE(""https://docs.google.com/spreadsheets/d/1QqKyyYR6Q21VydFLVH3TRQUabQu_ym0Zz7PgGX0-kHA/edit?usp=sharing"",""แผน!O32"")"),10)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IFERROR(__xludf.DUMMYFUNCTION("IMPORTRANGE(""https://docs.google.com/spreadsheets/d/1QqKyyYR6Q21VydFLVH3TRQUabQu_ym0Zz7PgGX0-kHA/edit?usp=sharing"",""แผน!P32"")"),1)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IFERROR(__xludf.DUMMYFUNCTION("IMPORTRANGE(""https://docs.google.com/spreadsheets/d/1QqKyyYR6Q21VydFLVH3TRQUabQu_ym0Zz7PgGX0-kHA/edit?usp=sharing"",""แผน!P32"")"),1)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IFERROR(__xludf.DUMMYFUNCTION("IMPORTRANGE(""https://docs.google.com/spreadsheets/d/1QqKyyYR6Q21VydFLVH3TRQUabQu_ym0Zz7PgGX0-kHA/edit?usp=sharing"",""แผน!Q32"")"),0)</f>
        <v>0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IFERROR(__xludf.DUMMYFUNCTION("IMPORTRANGE(""https://docs.google.com/spreadsheets/d/1QqKyyYR6Q21VydFLVH3TRQUabQu_ym0Zz7PgGX0-kHA/edit?usp=sharing"",""แผน!Q32"")"),0)</f>
        <v>0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IFERROR(__xludf.DUMMYFUNCTION("IMPORTRANGE(""https://docs.google.com/spreadsheets/d/1QqKyyYR6Q21VydFLVH3TRQUabQu_ym0Zz7PgGX0-kHA/edit?usp=sharing"",""แผน!U32"")"),0)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IFERROR(__xludf.DUMMYFUNCTION("IMPORTRANGE(""https://docs.google.com/spreadsheets/d/1QqKyyYR6Q21VydFLVH3TRQUabQu_ym0Zz7PgGX0-kHA/edit?usp=sharing"",""แผน!V32"")"),0)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IFERROR(__xludf.DUMMYFUNCTION("IMPORTRANGE(""https://docs.google.com/spreadsheets/d/1QqKyyYR6Q21VydFLVH3TRQUabQu_ym0Zz7PgGX0-kHA/edit?usp=sharing"",""แผน!W32"")"),0)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10000</v>
      </c>
      <c r="M152" s="496">
        <f t="shared" ca="1" si="81"/>
        <v>10000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IFERROR(__xludf.DUMMYFUNCTION("IMPORTRANGE(""https://docs.google.com/spreadsheets/d/1MeEWN-I1oV_STSDYn1IFDPWt_1FKiwhDph83XaGc0o0/edit?usp=sharing"",""งบพรบ!BZ32"")"),10000)</f>
        <v>10000</v>
      </c>
      <c r="N154" s="93">
        <f ca="1">IFERROR(__xludf.DUMMYFUNCTION("IMPORTRANGE(""https://docs.google.com/spreadsheets/d/1MeEWN-I1oV_STSDYn1IFDPWt_1FKiwhDph83XaGc0o0/edit?usp=sharing"",""งบพรบ!CB32"")"),0)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IFERROR(__xludf.DUMMYFUNCTION("IMPORTRANGE(""https://docs.google.com/spreadsheets/d/1QqKyyYR6Q21VydFLVH3TRQUabQu_ym0Zz7PgGX0-kHA/edit?usp=sharing"",""แผน!X32"")"),20)</f>
        <v>20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12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8200</v>
      </c>
      <c r="O165" s="154">
        <f t="shared" ref="O165:O173" ca="1" si="85">IF(L165&gt;0,N165*100/L165,0)</f>
        <v>35.559410234171729</v>
      </c>
      <c r="P165" s="154">
        <f t="shared" ref="P165:P173" ca="1" si="86">IF(M165&gt;0,N165*100/M165,0)</f>
        <v>35.559410234171729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8200</v>
      </c>
      <c r="O167" s="93">
        <f t="shared" ca="1" si="85"/>
        <v>35.559410234171729</v>
      </c>
      <c r="P167" s="93">
        <f t="shared" ca="1" si="86"/>
        <v>35.559410234171729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8200</v>
      </c>
      <c r="O168" s="496">
        <f t="shared" ca="1" si="85"/>
        <v>35.559410234171729</v>
      </c>
      <c r="P168" s="496">
        <f t="shared" ca="1" si="86"/>
        <v>35.559410234171729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IFERROR(__xludf.DUMMYFUNCTION("IMPORTRANGE(""https://docs.google.com/spreadsheets/d/1MeEWN-I1oV_STSDYn1IFDPWt_1FKiwhDph83XaGc0o0/edit?usp=sharing"",""งบพรบ!CJ32"")"),23060)</f>
        <v>23060</v>
      </c>
      <c r="N170" s="93">
        <f ca="1">IFERROR(__xludf.DUMMYFUNCTION("IMPORTRANGE(""https://docs.google.com/spreadsheets/d/1MeEWN-I1oV_STSDYn1IFDPWt_1FKiwhDph83XaGc0o0/edit?usp=sharing"",""งบพรบ!CL32"")"),8200)</f>
        <v>8200</v>
      </c>
      <c r="O170" s="93">
        <f t="shared" ca="1" si="85"/>
        <v>35.559410234171729</v>
      </c>
      <c r="P170" s="93">
        <f t="shared" ca="1" si="86"/>
        <v>35.559410234171729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IFERROR(__xludf.DUMMYFUNCTION("IMPORTRANGE(""https://docs.google.com/spreadsheets/d/1QqKyyYR6Q21VydFLVH3TRQUabQu_ym0Zz7PgGX0-kHA/edit?usp=sharing"",""แผน!Y32"")"),12)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1">L182+L183</f>
        <v>67900</v>
      </c>
      <c r="M181" s="154">
        <f t="shared" ca="1" si="91"/>
        <v>30000</v>
      </c>
      <c r="N181" s="154">
        <f t="shared" ca="1" si="91"/>
        <v>0</v>
      </c>
      <c r="O181" s="154">
        <f t="shared" ref="O181:O189" ca="1" si="92">IF(L181&gt;0,N181*100/L181,0)</f>
        <v>0</v>
      </c>
      <c r="P181" s="154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67900</v>
      </c>
      <c r="M183" s="93">
        <f t="shared" ca="1" si="94"/>
        <v>30000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67900</v>
      </c>
      <c r="M184" s="496">
        <f t="shared" ca="1" si="95"/>
        <v>30000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IFERROR(__xludf.DUMMYFUNCTION("IMPORTRANGE(""https://docs.google.com/spreadsheets/d/1MeEWN-I1oV_STSDYn1IFDPWt_1FKiwhDph83XaGc0o0/edit?usp=sharing"",""งบพรบ!CT32"")"),30000)</f>
        <v>30000</v>
      </c>
      <c r="N186" s="93">
        <f ca="1">IFERROR(__xludf.DUMMYFUNCTION("IMPORTRANGE(""https://docs.google.com/spreadsheets/d/1MeEWN-I1oV_STSDYn1IFDPWt_1FKiwhDph83XaGc0o0/edit?usp=sharing"",""งบพรบ!CV32"")"),0)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IFERROR(__xludf.DUMMYFUNCTION("IMPORTRANGE(""https://docs.google.com/spreadsheets/d/1QqKyyYR6Q21VydFLVH3TRQUabQu_ym0Zz7PgGX0-kHA/edit?usp=sharing"",""แผน!AC32"")"),4)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IFERROR(__xludf.DUMMYFUNCTION("IMPORTRANGE(""https://docs.google.com/spreadsheets/d/1QqKyyYR6Q21VydFLVH3TRQUabQu_ym0Zz7PgGX0-kHA/edit?usp=sharing"",""แผน!AE32"")"),3000)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IFERROR(__xludf.DUMMYFUNCTION("IMPORTRANGE(""https://docs.google.com/spreadsheets/d/1QqKyyYR6Q21VydFLVH3TRQUabQu_ym0Zz7PgGX0-kHA/edit?usp=sharing"",""แผน!AF32"")"),24000)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IFERROR(__xludf.DUMMYFUNCTION("IMPORTRANGE(""https://docs.google.com/spreadsheets/d/1QqKyyYR6Q21VydFLVH3TRQUabQu_ym0Zz7PgGX0-kHA/edit?usp=sharing"",""แผน!AG32"")"),12000)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IFERROR(__xludf.DUMMYFUNCTION("IMPORTRANGE(""https://docs.google.com/spreadsheets/d/1QqKyyYR6Q21VydFLVH3TRQUabQu_ym0Zz7PgGX0-kHA/edit?usp=sharing"",""แผน!AH32"")"),0)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IFERROR(__xludf.DUMMYFUNCTION("IMPORTRANGE(""https://docs.google.com/spreadsheets/d/1QqKyyYR6Q21VydFLVH3TRQUabQu_ym0Zz7PgGX0-kHA/edit?usp=sharing"",""แผน!AI32"")"),3)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IFERROR(__xludf.DUMMYFUNCTION("IMPORTRANGE(""https://docs.google.com/spreadsheets/d/1QqKyyYR6Q21VydFLVH3TRQUabQu_ym0Zz7PgGX0-kHA/edit?usp=sharing"",""แผน!AK32"")"),0)</f>
        <v>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IFERROR(__xludf.DUMMYFUNCTION("IMPORTRANGE(""https://docs.google.com/spreadsheets/d/1QqKyyYR6Q21VydFLVH3TRQUabQu_ym0Zz7PgGX0-kHA/edit?usp=sharing"",""แผน!AL32"")"),0)</f>
        <v>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IFERROR(__xludf.DUMMYFUNCTION("IMPORTRANGE(""https://docs.google.com/spreadsheets/d/1QqKyyYR6Q21VydFLVH3TRQUabQu_ym0Zz7PgGX0-kHA/edit?usp=sharing"",""แผน!AM32"")"),0)</f>
        <v>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IFERROR(__xludf.DUMMYFUNCTION("IMPORTRANGE(""https://docs.google.com/spreadsheets/d/1QqKyyYR6Q21VydFLVH3TRQUabQu_ym0Zz7PgGX0-kHA/edit?usp=sharing"",""แผน!AN32"")"),0)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IFERROR(__xludf.DUMMYFUNCTION("IMPORTRANGE(""https://docs.google.com/spreadsheets/d/1QqKyyYR6Q21VydFLVH3TRQUabQu_ym0Zz7PgGX0-kHA/edit?usp=sharing"",""แผน!AN32"")"),0)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65000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22900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IFERROR(__xludf.DUMMYFUNCTION("IMPORTRANGE(""https://docs.google.com/spreadsheets/d/1QqKyyYR6Q21VydFLVH3TRQUabQu_ym0Zz7PgGX0-kHA/edit?usp=sharing"",""แผน!AP32"")"),5000)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IFERROR(__xludf.DUMMYFUNCTION("IMPORTRANGE(""https://docs.google.com/spreadsheets/d/1QqKyyYR6Q21VydFLVH3TRQUabQu_ym0Zz7PgGX0-kHA/edit?usp=sharing"",""แผน!AQ32"")"),17900)</f>
        <v>17900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IFERROR(__xludf.DUMMYFUNCTION("IMPORTRANGE(""https://docs.google.com/spreadsheets/d/1QqKyyYR6Q21VydFLVH3TRQUabQu_ym0Zz7PgGX0-kHA/edit?usp=sharing"",""แผน!AR32"")"),0)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IFERROR(__xludf.DUMMYFUNCTION("IMPORTRANGE(""https://docs.google.com/spreadsheets/d/1QqKyyYR6Q21VydFLVH3TRQUabQu_ym0Zz7PgGX0-kHA/edit?usp=sharing"",""แผน!AT32"")"),65000)</f>
        <v>65000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IFERROR(__xludf.DUMMYFUNCTION("IMPORTRANGE(""https://docs.google.com/spreadsheets/d/1QqKyyYR6Q21VydFLVH3TRQUabQu_ym0Zz7PgGX0-kHA/edit?usp=sharing"",""แผน!AT32"")"),65000)</f>
        <v>65000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IFERROR(__xludf.DUMMYFUNCTION("IMPORTRANGE(""https://docs.google.com/spreadsheets/d/1QqKyyYR6Q21VydFLVH3TRQUabQu_ym0Zz7PgGX0-kHA/edit?usp=sharing"",""แผน!AS32"")"),0)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IFERROR(__xludf.DUMMYFUNCTION("IMPORTRANGE(""https://docs.google.com/spreadsheets/d/1QqKyyYR6Q21VydFLVH3TRQUabQu_ym0Zz7PgGX0-kHA/edit?usp=sharing"",""แผน!AV32"")"),0)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IFERROR(__xludf.DUMMYFUNCTION("IMPORTRANGE(""https://docs.google.com/spreadsheets/d/1QqKyyYR6Q21VydFLVH3TRQUabQu_ym0Zz7PgGX0-kHA/edit?usp=sharing"",""แผน!AW32"")"),0)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IFERROR(__xludf.DUMMYFUNCTION("IMPORTRANGE(""https://docs.google.com/spreadsheets/d/1QqKyyYR6Q21VydFLVH3TRQUabQu_ym0Zz7PgGX0-kHA/edit?usp=sharing"",""แผน!AX32"")"),0)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IFERROR(__xludf.DUMMYFUNCTION("IMPORTRANGE(""https://docs.google.com/spreadsheets/d/1QqKyyYR6Q21VydFLVH3TRQUabQu_ym0Zz7PgGX0-kHA/edit?usp=sharing"",""แผน!AY32"")"),0)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IFERROR(__xludf.DUMMYFUNCTION("IMPORTRANGE(""https://docs.google.com/spreadsheets/d/1QqKyyYR6Q21VydFLVH3TRQUabQu_ym0Zz7PgGX0-kHA/edit?usp=sharing"",""แผน!BE32"")"),0)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IFERROR(__xludf.DUMMYFUNCTION("IMPORTRANGE(""https://docs.google.com/spreadsheets/d/1QqKyyYR6Q21VydFLVH3TRQUabQu_ym0Zz7PgGX0-kHA/edit?usp=sharing"",""แผน!AZ32"")"),0)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IFERROR(__xludf.DUMMYFUNCTION("IMPORTRANGE(""https://docs.google.com/spreadsheets/d/1QqKyyYR6Q21VydFLVH3TRQUabQu_ym0Zz7PgGX0-kHA/edit?usp=sharing"",""แผน!BA32"")"),0)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IFERROR(__xludf.DUMMYFUNCTION("IMPORTRANGE(""https://docs.google.com/spreadsheets/d/1QqKyyYR6Q21VydFLVH3TRQUabQu_ym0Zz7PgGX0-kHA/edit?usp=sharing"",""แผน!BB32"")"),0)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IFERROR(__xludf.DUMMYFUNCTION("IMPORTRANGE(""https://docs.google.com/spreadsheets/d/1QqKyyYR6Q21VydFLVH3TRQUabQu_ym0Zz7PgGX0-kHA/edit?usp=sharing"",""แผน!BC32"")"),0)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IFERROR(__xludf.DUMMYFUNCTION("IMPORTRANGE(""https://docs.google.com/spreadsheets/d/1QqKyyYR6Q21VydFLVH3TRQUabQu_ym0Zz7PgGX0-kHA/edit?usp=sharing"",""แผน!BF32"")"),0)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20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25000</v>
      </c>
      <c r="M261" s="155">
        <f t="shared" ca="1" si="115"/>
        <v>22000</v>
      </c>
      <c r="N261" s="155">
        <f t="shared" ca="1" si="115"/>
        <v>20780</v>
      </c>
      <c r="O261" s="155">
        <f t="shared" ref="O261:O269" ca="1" si="116">IF(L261&gt;0,N261*100/L261,0)</f>
        <v>83.12</v>
      </c>
      <c r="P261" s="155">
        <f t="shared" ref="P261:P269" ca="1" si="117">IF(M261&gt;0,N261*100/M261,0)</f>
        <v>94.454545454545453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25000</v>
      </c>
      <c r="M263" s="93">
        <f t="shared" ca="1" si="118"/>
        <v>22000</v>
      </c>
      <c r="N263" s="93">
        <f t="shared" ca="1" si="118"/>
        <v>20780</v>
      </c>
      <c r="O263" s="93">
        <f t="shared" ca="1" si="116"/>
        <v>83.12</v>
      </c>
      <c r="P263" s="93">
        <f t="shared" ca="1" si="117"/>
        <v>94.454545454545453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25000</v>
      </c>
      <c r="M264" s="496">
        <f t="shared" ca="1" si="119"/>
        <v>22000</v>
      </c>
      <c r="N264" s="496">
        <f t="shared" ca="1" si="119"/>
        <v>20780</v>
      </c>
      <c r="O264" s="496">
        <f t="shared" ca="1" si="116"/>
        <v>83.12</v>
      </c>
      <c r="P264" s="496">
        <f t="shared" ca="1" si="117"/>
        <v>94.454545454545453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IFERROR(__xludf.DUMMYFUNCTION("IMPORTRANGE(""https://docs.google.com/spreadsheets/d/1MeEWN-I1oV_STSDYn1IFDPWt_1FKiwhDph83XaGc0o0/edit?usp=sharing"",""งบพรบ!DD32"")"),22000)</f>
        <v>22000</v>
      </c>
      <c r="N266" s="93">
        <f ca="1">IFERROR(__xludf.DUMMYFUNCTION("IMPORTRANGE(""https://docs.google.com/spreadsheets/d/1MeEWN-I1oV_STSDYn1IFDPWt_1FKiwhDph83XaGc0o0/edit?usp=sharing"",""งบพรบ!DF32"")"),20780)</f>
        <v>20780</v>
      </c>
      <c r="O266" s="93">
        <f t="shared" ca="1" si="116"/>
        <v>83.12</v>
      </c>
      <c r="P266" s="93">
        <f t="shared" ca="1" si="117"/>
        <v>94.454545454545453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IFERROR(__xludf.DUMMYFUNCTION("IMPORTRANGE(""https://docs.google.com/spreadsheets/d/1QqKyyYR6Q21VydFLVH3TRQUabQu_ym0Zz7PgGX0-kHA/edit?usp=sharing"",""แผน!EA32"")"),20)</f>
        <v>20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25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250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259920</v>
      </c>
      <c r="M277" s="155">
        <f t="shared" ca="1" si="124"/>
        <v>122000</v>
      </c>
      <c r="N277" s="155">
        <f t="shared" ca="1" si="124"/>
        <v>24758</v>
      </c>
      <c r="O277" s="155">
        <f t="shared" ref="O277:O285" ca="1" si="125">IF(L277&gt;0,N277*100/L277,0)</f>
        <v>9.5252385349338251</v>
      </c>
      <c r="P277" s="155">
        <f t="shared" ref="P277:P285" ca="1" si="126">IF(M277&gt;0,N277*100/M277,0)</f>
        <v>20.29344262295082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259920</v>
      </c>
      <c r="M279" s="93">
        <f t="shared" ca="1" si="127"/>
        <v>122000</v>
      </c>
      <c r="N279" s="93">
        <f t="shared" ca="1" si="127"/>
        <v>24758</v>
      </c>
      <c r="O279" s="93">
        <f t="shared" ca="1" si="125"/>
        <v>9.5252385349338251</v>
      </c>
      <c r="P279" s="93">
        <f t="shared" ca="1" si="126"/>
        <v>20.29344262295082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259920</v>
      </c>
      <c r="M280" s="496">
        <f t="shared" ca="1" si="128"/>
        <v>122000</v>
      </c>
      <c r="N280" s="496">
        <f t="shared" ca="1" si="128"/>
        <v>24758</v>
      </c>
      <c r="O280" s="496">
        <f t="shared" ca="1" si="125"/>
        <v>9.5252385349338251</v>
      </c>
      <c r="P280" s="496">
        <f t="shared" ca="1" si="126"/>
        <v>20.29344262295082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IFERROR(__xludf.DUMMYFUNCTION("IMPORTRANGE(""https://docs.google.com/spreadsheets/d/1MeEWN-I1oV_STSDYn1IFDPWt_1FKiwhDph83XaGc0o0/edit?usp=sharing"",""งบพรบ!DN32"")"),122000)</f>
        <v>122000</v>
      </c>
      <c r="N282" s="93">
        <f ca="1">IFERROR(__xludf.DUMMYFUNCTION("IMPORTRANGE(""https://docs.google.com/spreadsheets/d/1MeEWN-I1oV_STSDYn1IFDPWt_1FKiwhDph83XaGc0o0/edit?usp=sharing"",""งบพรบ!DP32"")"),24758)</f>
        <v>24758</v>
      </c>
      <c r="O282" s="93">
        <f t="shared" ca="1" si="125"/>
        <v>9.5252385349338251</v>
      </c>
      <c r="P282" s="93">
        <f t="shared" ca="1" si="126"/>
        <v>20.29344262295082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IFERROR(__xludf.DUMMYFUNCTION("IMPORTRANGE(""https://docs.google.com/spreadsheets/d/1QqKyyYR6Q21VydFLVH3TRQUabQu_ym0Zz7PgGX0-kHA/edit?usp=sharing"",""แผน!EC32"")"),250)</f>
        <v>250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IFERROR(__xludf.DUMMYFUNCTION("IMPORTRANGE(""https://docs.google.com/spreadsheets/d/1QqKyyYR6Q21VydFLVH3TRQUabQu_ym0Zz7PgGX0-kHA/edit?usp=sharing"",""แผน!EB32"")"),25)</f>
        <v>25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19" t="s">
        <v>332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8.75">
      <c r="A294" s="377"/>
      <c r="B294" s="378"/>
      <c r="C294" s="378"/>
      <c r="D294" s="380"/>
      <c r="E294" s="725" t="s">
        <v>333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IFERROR(__xludf.DUMMYFUNCTION("IMPORTRANGE(""https://docs.google.com/spreadsheets/d/1QqKyyYR6Q21VydFLVH3TRQUabQu_ym0Zz7PgGX0-kHA/edit?usp=sharing"",""แผน!EB32"")"),25)</f>
        <v>25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0</v>
      </c>
      <c r="M301" s="496">
        <f t="shared" ca="1" si="138"/>
        <v>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IFERROR(__xludf.DUMMYFUNCTION("IMPORTRANGE(""https://docs.google.com/spreadsheets/d/1QqKyyYR6Q21VydFLVH3TRQUabQu_ym0Zz7PgGX0-kHA/edit?usp=sharing"",""แผน!ED32"")"),0)</f>
        <v>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IFERROR(__xludf.DUMMYFUNCTION("IMPORTRANGE(""https://docs.google.com/spreadsheets/d/1QqKyyYR6Q21VydFLVH3TRQUabQu_ym0Zz7PgGX0-kHA/edit?usp=sharing"",""แผน!ED32"")"),0)</f>
        <v>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IFERROR(__xludf.DUMMYFUNCTION("IMPORTRANGE(""https://docs.google.com/spreadsheets/d/1QqKyyYR6Q21VydFLVH3TRQUabQu_ym0Zz7PgGX0-kHA/edit?usp=sharing"",""แผน!ED32"")"),0)</f>
        <v>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IFERROR(__xludf.DUMMYFUNCTION("IMPORTRANGE(""https://docs.google.com/spreadsheets/d/1QqKyyYR6Q21VydFLVH3TRQUabQu_ym0Zz7PgGX0-kHA/edit?usp=sharing"",""แผน!EE32"")"),0)</f>
        <v>0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1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439000</v>
      </c>
      <c r="M315" s="155">
        <f t="shared" ca="1" si="142"/>
        <v>206500</v>
      </c>
      <c r="N315" s="155">
        <f t="shared" ca="1" si="142"/>
        <v>54110.96</v>
      </c>
      <c r="O315" s="155">
        <f t="shared" ref="O315:O323" ca="1" si="143">IF(L315&gt;0,N315*100/L315,0)</f>
        <v>12.325958997722095</v>
      </c>
      <c r="P315" s="155">
        <f t="shared" ref="P315:P323" ca="1" si="144">IF(M315&gt;0,N315*100/M315,0)</f>
        <v>26.203854721549636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439000</v>
      </c>
      <c r="M317" s="93">
        <f t="shared" ca="1" si="145"/>
        <v>206500</v>
      </c>
      <c r="N317" s="93">
        <f t="shared" ca="1" si="145"/>
        <v>54110.96</v>
      </c>
      <c r="O317" s="93">
        <f t="shared" ca="1" si="143"/>
        <v>12.325958997722095</v>
      </c>
      <c r="P317" s="93">
        <f t="shared" ca="1" si="144"/>
        <v>26.203854721549636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439000</v>
      </c>
      <c r="M318" s="496">
        <f t="shared" ca="1" si="146"/>
        <v>206500</v>
      </c>
      <c r="N318" s="496">
        <f t="shared" ca="1" si="146"/>
        <v>54110.96</v>
      </c>
      <c r="O318" s="496">
        <f t="shared" ca="1" si="143"/>
        <v>12.325958997722095</v>
      </c>
      <c r="P318" s="496">
        <f t="shared" ca="1" si="144"/>
        <v>26.203854721549636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IFERROR(__xludf.DUMMYFUNCTION("IMPORTRANGE(""https://docs.google.com/spreadsheets/d/1MeEWN-I1oV_STSDYn1IFDPWt_1FKiwhDph83XaGc0o0/edit?usp=sharing"",""งบพรบ!EH32"")"),206500)</f>
        <v>206500</v>
      </c>
      <c r="N320" s="93">
        <f ca="1">IFERROR(__xludf.DUMMYFUNCTION("IMPORTRANGE(""https://docs.google.com/spreadsheets/d/1MeEWN-I1oV_STSDYn1IFDPWt_1FKiwhDph83XaGc0o0/edit?usp=sharing"",""งบพรบ!EJ32"")"),54110.96)</f>
        <v>54110.96</v>
      </c>
      <c r="O320" s="93">
        <f t="shared" ca="1" si="143"/>
        <v>12.325958997722095</v>
      </c>
      <c r="P320" s="93">
        <f t="shared" ca="1" si="144"/>
        <v>26.203854721549636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IFERROR(__xludf.DUMMYFUNCTION("IMPORTRANGE(""https://docs.google.com/spreadsheets/d/1QqKyyYR6Q21VydFLVH3TRQUabQu_ym0Zz7PgGX0-kHA/edit?usp=sharing"",""แผน!EF32"")"),1)</f>
        <v>1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IFERROR(__xludf.DUMMYFUNCTION("IMPORTRANGE(""https://docs.google.com/spreadsheets/d/1QqKyyYR6Q21VydFLVH3TRQUabQu_ym0Zz7PgGX0-kHA/edit?usp=sharing"",""แผน!EG32"")"),1800)</f>
        <v>1800</v>
      </c>
      <c r="J327" s="443">
        <f ca="1">J338+J341+J342+J343</f>
        <v>616</v>
      </c>
      <c r="K327" s="444">
        <f ca="1">IF(I327&gt;0,J327*100/I327,0)</f>
        <v>34.222222222222221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174000</v>
      </c>
      <c r="M328" s="155">
        <f t="shared" ca="1" si="148"/>
        <v>87000</v>
      </c>
      <c r="N328" s="155">
        <f t="shared" ca="1" si="148"/>
        <v>26072.74</v>
      </c>
      <c r="O328" s="155">
        <f t="shared" ref="O328:O336" ca="1" si="149">IF(L328&gt;0,N328*100/L328,0)</f>
        <v>14.984333333333334</v>
      </c>
      <c r="P328" s="155">
        <f t="shared" ref="P328:P336" ca="1" si="150">IF(M328&gt;0,N328*100/M328,0)</f>
        <v>29.968666666666667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174000</v>
      </c>
      <c r="M330" s="93">
        <f t="shared" ca="1" si="151"/>
        <v>87000</v>
      </c>
      <c r="N330" s="93">
        <f t="shared" ca="1" si="151"/>
        <v>26072.74</v>
      </c>
      <c r="O330" s="93">
        <f t="shared" ca="1" si="149"/>
        <v>14.984333333333334</v>
      </c>
      <c r="P330" s="93">
        <f t="shared" ca="1" si="150"/>
        <v>29.968666666666667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174000</v>
      </c>
      <c r="M331" s="496">
        <f t="shared" ca="1" si="152"/>
        <v>87000</v>
      </c>
      <c r="N331" s="496">
        <f t="shared" ca="1" si="152"/>
        <v>26072.74</v>
      </c>
      <c r="O331" s="496">
        <f t="shared" ca="1" si="149"/>
        <v>14.984333333333334</v>
      </c>
      <c r="P331" s="496">
        <f t="shared" ca="1" si="150"/>
        <v>29.968666666666667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IFERROR(__xludf.DUMMYFUNCTION("IMPORTRANGE(""https://docs.google.com/spreadsheets/d/1MeEWN-I1oV_STSDYn1IFDPWt_1FKiwhDph83XaGc0o0/edit?usp=sharing"",""งบพรบ!ER32"")"),87000)</f>
        <v>87000</v>
      </c>
      <c r="N333" s="93">
        <f ca="1">IFERROR(__xludf.DUMMYFUNCTION("IMPORTRANGE(""https://docs.google.com/spreadsheets/d/1MeEWN-I1oV_STSDYn1IFDPWt_1FKiwhDph83XaGc0o0/edit?usp=sharing"",""งบพรบ!ET32"")"),26072.74)</f>
        <v>26072.74</v>
      </c>
      <c r="O333" s="93">
        <f t="shared" ca="1" si="149"/>
        <v>14.984333333333334</v>
      </c>
      <c r="P333" s="93">
        <f t="shared" ca="1" si="150"/>
        <v>29.968666666666667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IFERROR(__xludf.DUMMYFUNCTION("IMPORTRANGE(""https://docs.google.com/spreadsheets/d/1QqKyyYR6Q21VydFLVH3TRQUabQu_ym0Zz7PgGX0-kHA/edit?usp=sharing"",""แผน!EG32"")"),1800)</f>
        <v>1800</v>
      </c>
      <c r="J338" s="269">
        <f ca="1">IFERROR(__xludf.DUMMYFUNCTION("IMPORTRANGE(""https://docs.google.com/spreadsheets/d/1kVcqe37tkHyjCSG3S0O1AXqVkqjo8mSIZil3BcpIysc/edit?usp=sharing"",""ศูนย์!D32"")"),616)</f>
        <v>616</v>
      </c>
      <c r="K338" s="496">
        <f ca="1">IF(I338&gt;0,J338*100/I338,0)</f>
        <v>34.222222222222221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IFERROR(__xludf.DUMMYFUNCTION("IMPORTRANGE(""https://docs.google.com/spreadsheets/d/1QqKyyYR6Q21VydFLVH3TRQUabQu_ym0Zz7PgGX0-kHA/edit?usp=sharing"",""แผน!EH32"")"),8)</f>
        <v>8</v>
      </c>
      <c r="J340" s="269">
        <f ca="1">IFERROR(__xludf.DUMMYFUNCTION("IMPORTRANGE(""https://docs.google.com/spreadsheets/d/1kVcqe37tkHyjCSG3S0O1AXqVkqjo8mSIZil3BcpIysc/edit?usp=sharing"",""ศูนย์!E32"")"),0)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IFERROR(__xludf.DUMMYFUNCTION("IMPORTRANGE(""https://docs.google.com/spreadsheets/d/1kVcqe37tkHyjCSG3S0O1AXqVkqjo8mSIZil3BcpIysc/edit?usp=sharing"",""ศูนย์!F32"")"),0)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IFERROR(__xludf.DUMMYFUNCTION("IMPORTRANGE(""https://docs.google.com/spreadsheets/d/1kVcqe37tkHyjCSG3S0O1AXqVkqjo8mSIZil3BcpIysc/edit?usp=sharing"",""ศูนย์!G32"")"),0)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IFERROR(__xludf.DUMMYFUNCTION("IMPORTRANGE(""https://docs.google.com/spreadsheets/d/1kVcqe37tkHyjCSG3S0O1AXqVkqjo8mSIZil3BcpIysc/edit?usp=sharing"",""ศูนย์!H32"")"),0)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1058490</v>
      </c>
      <c r="M345" s="155">
        <f t="shared" ca="1" si="154"/>
        <v>571150</v>
      </c>
      <c r="N345" s="155">
        <f t="shared" ca="1" si="154"/>
        <v>236369.17</v>
      </c>
      <c r="O345" s="155">
        <f t="shared" ref="O345:O353" ca="1" si="155">IF(L345&gt;0,N345*100/L345,0)</f>
        <v>22.330789143024496</v>
      </c>
      <c r="P345" s="155">
        <f t="shared" ref="P345:P353" ca="1" si="156">IF(M345&gt;0,N345*100/M345,0)</f>
        <v>41.384779830167204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1058490</v>
      </c>
      <c r="M347" s="93">
        <f t="shared" ca="1" si="157"/>
        <v>571150</v>
      </c>
      <c r="N347" s="93">
        <f t="shared" ca="1" si="157"/>
        <v>236369.17</v>
      </c>
      <c r="O347" s="93">
        <f t="shared" ca="1" si="155"/>
        <v>22.330789143024496</v>
      </c>
      <c r="P347" s="93">
        <f t="shared" ca="1" si="156"/>
        <v>41.384779830167204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974690</v>
      </c>
      <c r="M348" s="496">
        <f t="shared" ca="1" si="158"/>
        <v>487350</v>
      </c>
      <c r="N348" s="496">
        <f t="shared" ca="1" si="158"/>
        <v>152569.17000000001</v>
      </c>
      <c r="O348" s="496">
        <f t="shared" ca="1" si="155"/>
        <v>15.653096882085588</v>
      </c>
      <c r="P348" s="496">
        <f t="shared" ca="1" si="156"/>
        <v>31.30587257617729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IFERROR(__xludf.DUMMYFUNCTION("IMPORTRANGE(""https://docs.google.com/spreadsheets/d/1MeEWN-I1oV_STSDYn1IFDPWt_1FKiwhDph83XaGc0o0/edit?usp=sharing"",""งบพรบ!FB32"")"),487350)</f>
        <v>487350</v>
      </c>
      <c r="N350" s="93">
        <f ca="1">IFERROR(__xludf.DUMMYFUNCTION("IMPORTRANGE(""https://docs.google.com/spreadsheets/d/1MeEWN-I1oV_STSDYn1IFDPWt_1FKiwhDph83XaGc0o0/edit?usp=sharing"",""งบพรบ!FD32"")"),152569.17)</f>
        <v>152569.17000000001</v>
      </c>
      <c r="O350" s="93">
        <f t="shared" ca="1" si="155"/>
        <v>15.653096882085588</v>
      </c>
      <c r="P350" s="93">
        <f t="shared" ca="1" si="156"/>
        <v>31.30587257617729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83800</v>
      </c>
      <c r="M351" s="496">
        <f t="shared" ca="1" si="159"/>
        <v>83800</v>
      </c>
      <c r="N351" s="496">
        <f t="shared" ca="1" si="159"/>
        <v>83800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IFERROR(__xludf.DUMMYFUNCTION("IMPORTRANGE(""https://docs.google.com/spreadsheets/d/1QqKyyYR6Q21VydFLVH3TRQUabQu_ym0Zz7PgGX0-kHA/edit?usp=sharing"",""แผน!EP32"")"),250)</f>
        <v>250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IFERROR(__xludf.DUMMYFUNCTION("IMPORTRANGE(""https://docs.google.com/spreadsheets/d/1XWAQStnk-4SwqDmLtmXYiTMKHgktTP8We1SCoS47DrQ/edit?usp=sharing"",""จัดที่ดิน!W32"")"),0)</f>
        <v>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IFERROR(__xludf.DUMMYFUNCTION("IMPORTRANGE(""https://docs.google.com/spreadsheets/d/1QqKyyYR6Q21VydFLVH3TRQUabQu_ym0Zz7PgGX0-kHA/edit?usp=sharing"",""แผน!EO32"")"),2500)</f>
        <v>2500</v>
      </c>
      <c r="J359" s="269">
        <f ca="1">IFERROR(__xludf.DUMMYFUNCTION("IMPORTRANGE(""https://docs.google.com/spreadsheets/d/1XWAQStnk-4SwqDmLtmXYiTMKHgktTP8We1SCoS47DrQ/edit?usp=sharing"",""จัดที่ดิน!X32"")"),0)</f>
        <v>0</v>
      </c>
      <c r="K359" s="496">
        <f t="shared" ca="1" si="160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IFERROR(__xludf.DUMMYFUNCTION("IMPORTRANGE(""https://docs.google.com/spreadsheets/d/1QqKyyYR6Q21VydFLVH3TRQUabQu_ym0Zz7PgGX0-kHA/edit?usp=sharing"",""แผน!EP32"")"),250)</f>
        <v>250</v>
      </c>
      <c r="J360" s="269">
        <f ca="1">IFERROR(__xludf.DUMMYFUNCTION("IMPORTRANGE(""https://docs.google.com/spreadsheets/d/1XWAQStnk-4SwqDmLtmXYiTMKHgktTP8We1SCoS47DrQ/edit?usp=sharing"",""จัดที่ดิน!Y32"")"),5)</f>
        <v>5</v>
      </c>
      <c r="K360" s="496">
        <f t="shared" ca="1" si="160"/>
        <v>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IFERROR(__xludf.DUMMYFUNCTION("IMPORTRANGE(""https://docs.google.com/spreadsheets/d/1XWAQStnk-4SwqDmLtmXYiTMKHgktTP8We1SCoS47DrQ/edit?usp=sharing"",""จัดที่ดิน!Z32"")"),28.48)</f>
        <v>28.48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IFERROR(__xludf.DUMMYFUNCTION("IMPORTRANGE(""https://docs.google.com/spreadsheets/d/1QqKyyYR6Q21VydFLVH3TRQUabQu_ym0Zz7PgGX0-kHA/edit?usp=sharing"",""แผน!EP32"")"),250)</f>
        <v>250</v>
      </c>
      <c r="J362" s="269">
        <f ca="1">IFERROR(__xludf.DUMMYFUNCTION("IMPORTRANGE(""https://docs.google.com/spreadsheets/d/1XWAQStnk-4SwqDmLtmXYiTMKHgktTP8We1SCoS47DrQ/edit?usp=sharing"",""จัดที่ดิน!AA32"")"),0)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IFERROR(__xludf.DUMMYFUNCTION("IMPORTRANGE(""https://docs.google.com/spreadsheets/d/1XWAQStnk-4SwqDmLtmXYiTMKHgktTP8We1SCoS47DrQ/edit?usp=sharing"",""จัดที่ดิน!AB32"")"),0)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1000</v>
      </c>
      <c r="J364" s="477">
        <f t="shared" ca="1" si="161"/>
        <v>0</v>
      </c>
      <c r="K364" s="478">
        <f t="shared" ca="1" si="160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IFERROR(__xludf.DUMMYFUNCTION("IMPORTRANGE(""https://docs.google.com/spreadsheets/d/1QqKyyYR6Q21VydFLVH3TRQUabQu_ym0Zz7PgGX0-kHA/edit?usp=sharing"",""แผน!EJ32"")"),50)</f>
        <v>50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IFERROR(__xludf.DUMMYFUNCTION("IMPORTRANGE(""https://docs.google.com/spreadsheets/d/1XWAQStnk-4SwqDmLtmXYiTMKHgktTP8We1SCoS47DrQ/edit?usp=sharing"",""จัดที่ดิน!E32"")"),0)</f>
        <v>0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IFERROR(__xludf.DUMMYFUNCTION("IMPORTRANGE(""https://docs.google.com/spreadsheets/d/1QqKyyYR6Q21VydFLVH3TRQUabQu_ym0Zz7PgGX0-kHA/edit?usp=sharing"",""แผน!EI32"")"),500)</f>
        <v>500</v>
      </c>
      <c r="J369" s="269">
        <f ca="1">IFERROR(__xludf.DUMMYFUNCTION("IMPORTRANGE(""https://docs.google.com/spreadsheets/d/1XWAQStnk-4SwqDmLtmXYiTMKHgktTP8We1SCoS47DrQ/edit?usp=sharing"",""จัดที่ดิน!F32"")"),0)</f>
        <v>0</v>
      </c>
      <c r="K369" s="496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IFERROR(__xludf.DUMMYFUNCTION("IMPORTRANGE(""https://docs.google.com/spreadsheets/d/1QqKyyYR6Q21VydFLVH3TRQUabQu_ym0Zz7PgGX0-kHA/edit?usp=sharing"",""แผน!EJ32"")"),50)</f>
        <v>50</v>
      </c>
      <c r="J370" s="269">
        <f ca="1">IFERROR(__xludf.DUMMYFUNCTION("IMPORTRANGE(""https://docs.google.com/spreadsheets/d/1XWAQStnk-4SwqDmLtmXYiTMKHgktTP8We1SCoS47DrQ/edit?usp=sharing"",""จัดที่ดิน!G32"")"),5)</f>
        <v>5</v>
      </c>
      <c r="K370" s="496">
        <f t="shared" ca="1" si="162"/>
        <v>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IFERROR(__xludf.DUMMYFUNCTION("IMPORTRANGE(""https://docs.google.com/spreadsheets/d/1XWAQStnk-4SwqDmLtmXYiTMKHgktTP8We1SCoS47DrQ/edit?usp=sharing"",""จัดที่ดิน!H32"")"),28.48)</f>
        <v>28.48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IFERROR(__xludf.DUMMYFUNCTION("IMPORTRANGE(""https://docs.google.com/spreadsheets/d/1QqKyyYR6Q21VydFLVH3TRQUabQu_ym0Zz7PgGX0-kHA/edit?usp=sharing"",""แผน!EJ32"")"),50)</f>
        <v>50</v>
      </c>
      <c r="J372" s="269">
        <f ca="1">IFERROR(__xludf.DUMMYFUNCTION("IMPORTRANGE(""https://docs.google.com/spreadsheets/d/1XWAQStnk-4SwqDmLtmXYiTMKHgktTP8We1SCoS47DrQ/edit?usp=sharing"",""จัดที่ดิน!I32"")"),0)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IFERROR(__xludf.DUMMYFUNCTION("IMPORTRANGE(""https://docs.google.com/spreadsheets/d/1XWAQStnk-4SwqDmLtmXYiTMKHgktTP8We1SCoS47DrQ/edit?usp=sharing"",""จัดที่ดิน!J32"")"),0)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IFERROR(__xludf.DUMMYFUNCTION("IMPORTRANGE(""https://docs.google.com/spreadsheets/d/1QqKyyYR6Q21VydFLVH3TRQUabQu_ym0Zz7PgGX0-kHA/edit?usp=sharing"",""แผน!EU32"")"),950)</f>
        <v>950</v>
      </c>
      <c r="J374" s="489">
        <f ca="1">J381</f>
        <v>0</v>
      </c>
      <c r="K374" s="490">
        <f t="shared" ca="1" si="162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IFERROR(__xludf.DUMMYFUNCTION("IMPORTRANGE(""https://docs.google.com/spreadsheets/d/1XWAQStnk-4SwqDmLtmXYiTMKHgktTP8We1SCoS47DrQ/edit?usp=sharing"",""จัดที่ดิน!AH32"")"),0)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IFERROR(__xludf.DUMMYFUNCTION("IMPORTRANGE(""https://docs.google.com/spreadsheets/d/1QqKyyYR6Q21VydFLVH3TRQUabQu_ym0Zz7PgGX0-kHA/edit?usp=sharing"",""แผน!ET32"")"),2000)</f>
        <v>2000</v>
      </c>
      <c r="J378" s="269">
        <f ca="1">IFERROR(__xludf.DUMMYFUNCTION("IMPORTRANGE(""https://docs.google.com/spreadsheets/d/1XWAQStnk-4SwqDmLtmXYiTMKHgktTP8We1SCoS47DrQ/edit?usp=sharing"",""จัดที่ดิน!AI32"")"),0)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IFERROR(__xludf.DUMMYFUNCTION("IMPORTRANGE(""https://docs.google.com/spreadsheets/d/1QqKyyYR6Q21VydFLVH3TRQUabQu_ym0Zz7PgGX0-kHA/edit?usp=sharing"",""แผน!EU32"")"),950)</f>
        <v>950</v>
      </c>
      <c r="J379" s="269">
        <f ca="1">IFERROR(__xludf.DUMMYFUNCTION("IMPORTRANGE(""https://docs.google.com/spreadsheets/d/1XWAQStnk-4SwqDmLtmXYiTMKHgktTP8We1SCoS47DrQ/edit?usp=sharing"",""จัดที่ดิน!AJ32"")"),0)</f>
        <v>0</v>
      </c>
      <c r="K379" s="496">
        <f t="shared" ca="1" si="163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IFERROR(__xludf.DUMMYFUNCTION("IMPORTRANGE(""https://docs.google.com/spreadsheets/d/1XWAQStnk-4SwqDmLtmXYiTMKHgktTP8We1SCoS47DrQ/edit?usp=sharing"",""จัดที่ดิน!AK32"")"),0)</f>
        <v>0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IFERROR(__xludf.DUMMYFUNCTION("IMPORTRANGE(""https://docs.google.com/spreadsheets/d/1QqKyyYR6Q21VydFLVH3TRQUabQu_ym0Zz7PgGX0-kHA/edit?usp=sharing"",""แผน!EU32"")"),950)</f>
        <v>950</v>
      </c>
      <c r="J381" s="269">
        <f ca="1">IFERROR(__xludf.DUMMYFUNCTION("IMPORTRANGE(""https://docs.google.com/spreadsheets/d/1XWAQStnk-4SwqDmLtmXYiTMKHgktTP8We1SCoS47DrQ/edit?usp=sharing"",""จัดที่ดิน!AL32"")"),0)</f>
        <v>0</v>
      </c>
      <c r="K381" s="496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IFERROR(__xludf.DUMMYFUNCTION("IMPORTRANGE(""https://docs.google.com/spreadsheets/d/1XWAQStnk-4SwqDmLtmXYiTMKHgktTP8We1SCoS47DrQ/edit?usp=sharing"",""จัดที่ดิน!AM32"")"),0)</f>
        <v>0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IFERROR(__xludf.DUMMYFUNCTION("IMPORTRANGE(""https://docs.google.com/spreadsheets/d/1QqKyyYR6Q21VydFLVH3TRQUabQu_ym0Zz7PgGX0-kHA/edit?usp=sharing"",""แผน!EW32"")"),50)</f>
        <v>50</v>
      </c>
      <c r="J385" s="499">
        <f ca="1">IFERROR(__xludf.DUMMYFUNCTION("IMPORTRANGE(""https://docs.google.com/spreadsheets/d/1XWAQStnk-4SwqDmLtmXYiTMKHgktTP8We1SCoS47DrQ/edit?usp=sharing"",""จัดที่ดิน!AP32"")"),0)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2809707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IFERROR(__xludf.DUMMYFUNCTION("IMPORTRANGE(""https://docs.google.com/spreadsheets/d/1QqKyyYR6Q21VydFLVH3TRQUabQu_ym0Zz7PgGX0-kHA/edit?usp=sharing"",""แผน!FC32"")"),20)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IFERROR(__xludf.DUMMYFUNCTION("IMPORTRANGE(""https://docs.google.com/spreadsheets/d/1QqKyyYR6Q21VydFLVH3TRQUabQu_ym0Zz7PgGX0-kHA/edit?usp=sharing"",""แผน!FD32"")"),0)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IFERROR(__xludf.DUMMYFUNCTION("IMPORTRANGE(""https://docs.google.com/spreadsheets/d/1QqKyyYR6Q21VydFLVH3TRQUabQu_ym0Zz7PgGX0-kHA/edit?usp=sharing"",""แผน!FE32"")"),0)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IFERROR(__xludf.DUMMYFUNCTION("IMPORTRANGE(""https://docs.google.com/spreadsheets/d/1QqKyyYR6Q21VydFLVH3TRQUabQu_ym0Zz7PgGX0-kHA/edit?usp=sharing"",""แผน!FF32"")"),20)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IFERROR(__xludf.DUMMYFUNCTION("IMPORTRANGE(""https://docs.google.com/spreadsheets/d/1QqKyyYR6Q21VydFLVH3TRQUabQu_ym0Zz7PgGX0-kHA/edit?usp=sharing"",""แผน!FG32"")"),1)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IFERROR(__xludf.DUMMYFUNCTION("IMPORTRANGE(""https://docs.google.com/spreadsheets/d/1QqKyyYR6Q21VydFLVH3TRQUabQu_ym0Zz7PgGX0-kHA/edit?usp=sharing"",""แผน!FH32"")"),0)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60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300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524600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524600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524600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IFERROR(__xludf.DUMMYFUNCTION("IMPORTRANGE(""https://docs.google.com/spreadsheets/d/1QqKyyYR6Q21VydFLVH3TRQUabQu_ym0Zz7PgGX0-kHA/edit?usp=sharing"",""แผน!FN32"")"),60)</f>
        <v>60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IFERROR(__xludf.DUMMYFUNCTION("IMPORTRANGE(""https://docs.google.com/spreadsheets/d/1QqKyyYR6Q21VydFLVH3TRQUabQu_ym0Zz7PgGX0-kHA/edit?usp=sharing"",""แผน!FO32"")"),300)</f>
        <v>300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IFERROR(__xludf.DUMMYFUNCTION("IMPORTRANGE(""https://docs.google.com/spreadsheets/d/1QqKyyYR6Q21VydFLVH3TRQUabQu_ym0Zz7PgGX0-kHA/edit?usp=sharing"",""แผน!FO32"")"),300)</f>
        <v>300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IFERROR(__xludf.DUMMYFUNCTION("IMPORTRANGE(""https://docs.google.com/spreadsheets/d/1QqKyyYR6Q21VydFLVH3TRQUabQu_ym0Zz7PgGX0-kHA/edit?usp=sharing"",""แผน!FN32"")"),60)</f>
        <v>60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IFERROR(__xludf.DUMMYFUNCTION("IMPORTRANGE(""https://docs.google.com/spreadsheets/d/1QqKyyYR6Q21VydFLVH3TRQUabQu_ym0Zz7PgGX0-kHA/edit?usp=sharing"",""แผน!FX32"")"),131)</f>
        <v>131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IFERROR(__xludf.DUMMYFUNCTION("IMPORTRANGE(""https://docs.google.com/spreadsheets/d/1QqKyyYR6Q21VydFLVH3TRQUabQu_ym0Zz7PgGX0-kHA/edit?usp=sharing"",""แผน!FW32"")"),1300)</f>
        <v>1300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1161548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IFERROR(__xludf.DUMMYFUNCTION("IMPORTRANGE(""https://docs.google.com/spreadsheets/d/1QqKyyYR6Q21VydFLVH3TRQUabQu_ym0Zz7PgGX0-kHA/edit?usp=sharing"",""แผน!FS32"")"),1161548)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IFERROR(__xludf.DUMMYFUNCTION("IMPORTRANGE(""https://docs.google.com/spreadsheets/d/1QqKyyYR6Q21VydFLVH3TRQUabQu_ym0Zz7PgGX0-kHA/edit?usp=sharing"",""แผน!FY32"")"),1170)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IFERROR(__xludf.DUMMYFUNCTION("IMPORTRANGE(""https://docs.google.com/spreadsheets/d/1QqKyyYR6Q21VydFLVH3TRQUabQu_ym0Zz7PgGX0-kHA/edit?usp=sharing"",""แผน!FZ32"")"),117)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IFERROR(__xludf.DUMMYFUNCTION("IMPORTRANGE(""https://docs.google.com/spreadsheets/d/1QqKyyYR6Q21VydFLVH3TRQUabQu_ym0Zz7PgGX0-kHA/edit?usp=sharing"",""แผน!GA32"")"),130)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IFERROR(__xludf.DUMMYFUNCTION("IMPORTRANGE(""https://docs.google.com/spreadsheets/d/1QqKyyYR6Q21VydFLVH3TRQUabQu_ym0Zz7PgGX0-kHA/edit?usp=sharing"",""แผน!GB32"")"),13)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IFERROR(__xludf.DUMMYFUNCTION("IMPORTRANGE(""https://docs.google.com/spreadsheets/d/1QqKyyYR6Q21VydFLVH3TRQUabQu_ym0Zz7PgGX0-kHA/edit?usp=sharing"",""แผน!GC32"")"),1)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IFERROR(__xludf.DUMMYFUNCTION("IMPORTRANGE(""https://docs.google.com/spreadsheets/d/1QqKyyYR6Q21VydFLVH3TRQUabQu_ym0Zz7PgGX0-kHA/edit?usp=sharing"",""แผน!FY32"")"),1170)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IFERROR(__xludf.DUMMYFUNCTION("IMPORTRANGE(""https://docs.google.com/spreadsheets/d/1QqKyyYR6Q21VydFLVH3TRQUabQu_ym0Zz7PgGX0-kHA/edit?usp=sharing"",""แผน!GA32"")"),130)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30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277260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277260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277260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IFERROR(__xludf.DUMMYFUNCTION("IMPORTRANGE(""https://docs.google.com/spreadsheets/d/1QqKyyYR6Q21VydFLVH3TRQUabQu_ym0Zz7PgGX0-kHA/edit?usp=sharing"",""แผน!GU32"")"),30)</f>
        <v>30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IFERROR(__xludf.DUMMYFUNCTION("IMPORTRANGE(""https://docs.google.com/spreadsheets/d/1QqKyyYR6Q21VydFLVH3TRQUabQu_ym0Zz7PgGX0-kHA/edit?usp=sharing"",""แผน!GV32"")"),30)</f>
        <v>30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IFERROR(__xludf.DUMMYFUNCTION("IMPORTRANGE(""https://docs.google.com/spreadsheets/d/1QqKyyYR6Q21VydFLVH3TRQUabQu_ym0Zz7PgGX0-kHA/edit?usp=sharing"",""แผน!GW32"")"),0)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IFERROR(__xludf.DUMMYFUNCTION("IMPORTRANGE(""https://docs.google.com/spreadsheets/d/1QqKyyYR6Q21VydFLVH3TRQUabQu_ym0Zz7PgGX0-kHA/edit?usp=sharing"",""แผน!GX32"")"),0)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IFERROR(__xludf.DUMMYFUNCTION("IMPORTRANGE(""https://docs.google.com/spreadsheets/d/1QqKyyYR6Q21VydFLVH3TRQUabQu_ym0Zz7PgGX0-kHA/edit?usp=sharing"",""แผน!GY32"")"),30)</f>
        <v>30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IFERROR(__xludf.DUMMYFUNCTION("IMPORTRANGE(""https://docs.google.com/spreadsheets/d/1QqKyyYR6Q21VydFLVH3TRQUabQu_ym0Zz7PgGX0-kHA/edit?usp=sharing"",""แผน!GZ32"")"),30)</f>
        <v>30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43969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363084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363084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363084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IFERROR(__xludf.DUMMYFUNCTION("IMPORTRANGE(""https://docs.google.com/spreadsheets/d/1QqKyyYR6Q21VydFLVH3TRQUabQu_ym0Zz7PgGX0-kHA/edit?usp=sharing"",""แผน!HB32"")"),363084)</f>
        <v>363084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43969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IFERROR(__xludf.DUMMYFUNCTION("IMPORTRANGE(""https://docs.google.com/spreadsheets/d/1QqKyyYR6Q21VydFLVH3TRQUabQu_ym0Zz7PgGX0-kHA/edit?usp=sharing"",""แผน!HH32"")"),43969)</f>
        <v>43969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IFERROR(__xludf.DUMMYFUNCTION("IMPORTRANGE(""https://docs.google.com/spreadsheets/d/1QqKyyYR6Q21VydFLVH3TRQUabQu_ym0Zz7PgGX0-kHA/edit?usp=sharing"",""แผน!HH32"")"),43969)</f>
        <v>43969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IFERROR(__xludf.DUMMYFUNCTION("IMPORTRANGE(""https://docs.google.com/spreadsheets/d/1QqKyyYR6Q21VydFLVH3TRQUabQu_ym0Zz7PgGX0-kHA/edit?usp=sharing"",""แผน!HH32"")"),43969)</f>
        <v>43969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0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IFERROR(__xludf.DUMMYFUNCTION("IMPORTRANGE(""https://docs.google.com/spreadsheets/d/1QqKyyYR6Q21VydFLVH3TRQUabQu_ym0Zz7PgGX0-kHA/edit?usp=sharing"",""แผน!HJ32"")"),0)</f>
        <v>0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IFERROR(__xludf.DUMMYFUNCTION("IMPORTRANGE(""https://docs.google.com/spreadsheets/d/1QqKyyYR6Q21VydFLVH3TRQUabQu_ym0Zz7PgGX0-kHA/edit?usp=sharing"",""แผน!HI32"")"),0)</f>
        <v>0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IFERROR(__xludf.DUMMYFUNCTION("IMPORTRANGE(""https://docs.google.com/spreadsheets/d/1QqKyyYR6Q21VydFLVH3TRQUabQu_ym0Zz7PgGX0-kHA/edit?usp=sharing"",""แผน!HL32"")"),0)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IFERROR(__xludf.DUMMYFUNCTION("IMPORTRANGE(""https://docs.google.com/spreadsheets/d/1QqKyyYR6Q21VydFLVH3TRQUabQu_ym0Zz7PgGX0-kHA/edit?usp=sharing"",""แผน!HK32"")"),0)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100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381515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381515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381515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IFERROR(__xludf.DUMMYFUNCTION("IMPORTRANGE(""https://docs.google.com/spreadsheets/d/1QqKyyYR6Q21VydFLVH3TRQUabQu_ym0Zz7PgGX0-kHA/edit?usp=sharing"",""แผน!HR32"")"),0)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IFERROR(__xludf.DUMMYFUNCTION("IMPORTRANGE(""https://docs.google.com/spreadsheets/d/1QqKyyYR6Q21VydFLVH3TRQUabQu_ym0Zz7PgGX0-kHA/edit?usp=sharing"",""แผน!HR32"")"),0)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IFERROR(__xludf.DUMMYFUNCTION("IMPORTRANGE(""https://docs.google.com/spreadsheets/d/1XWAQStnk-4SwqDmLtmXYiTMKHgktTP8We1SCoS47DrQ/edit?usp=sharing"",""จัดที่ดิน!AS32"")"),8)</f>
        <v>8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IFERROR(__xludf.DUMMYFUNCTION("IMPORTRANGE(""https://docs.google.com/spreadsheets/d/1XWAQStnk-4SwqDmLtmXYiTMKHgktTP8We1SCoS47DrQ/edit?usp=sharing"",""จัดที่ดิน!AT32"")"),6.33)</f>
        <v>6.33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IFERROR(__xludf.DUMMYFUNCTION("IMPORTRANGE(""https://docs.google.com/spreadsheets/d/1QqKyyYR6Q21VydFLVH3TRQUabQu_ym0Zz7PgGX0-kHA/edit?usp=sharing"",""แผน!HS32"")"),100)</f>
        <v>100</v>
      </c>
      <c r="J647" s="269">
        <f ca="1">IFERROR(__xludf.DUMMYFUNCTION("IMPORTRANGE(""https://docs.google.com/spreadsheets/d/1XWAQStnk-4SwqDmLtmXYiTMKHgktTP8We1SCoS47DrQ/edit?usp=sharing"",""จัดที่ดิน!AU32"")"),0)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IFERROR(__xludf.DUMMYFUNCTION("IMPORTRANGE(""https://docs.google.com/spreadsheets/d/1XWAQStnk-4SwqDmLtmXYiTMKHgktTP8We1SCoS47DrQ/edit?usp=sharing"",""จัดที่ดิน!AV32"")"),0)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IFERROR(__xludf.DUMMYFUNCTION("IMPORTRANGE(""https://docs.google.com/spreadsheets/d/1QqKyyYR6Q21VydFLVH3TRQUabQu_ym0Zz7PgGX0-kHA/edit?usp=sharing"",""แผน!HS32"")"),100)</f>
        <v>100</v>
      </c>
      <c r="J649" s="269">
        <f ca="1">IFERROR(__xludf.DUMMYFUNCTION("IMPORTRANGE(""https://docs.google.com/spreadsheets/d/1XWAQStnk-4SwqDmLtmXYiTMKHgktTP8We1SCoS47DrQ/edit?usp=sharing"",""จัดที่ดิน!AW32"")"),0)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IFERROR(__xludf.DUMMYFUNCTION("IMPORTRANGE(""https://docs.google.com/spreadsheets/d/1XWAQStnk-4SwqDmLtmXYiTMKHgktTP8We1SCoS47DrQ/edit?usp=sharing"",""จัดที่ดิน!AX32"")"),0)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IFERROR(__xludf.DUMMYFUNCTION("IMPORTRANGE(""https://docs.google.com/spreadsheets/d/1QqKyyYR6Q21VydFLVH3TRQUabQu_ym0Zz7PgGX0-kHA/edit?usp=sharing"",""แผน!HS32"")"),100)</f>
        <v>100</v>
      </c>
      <c r="J651" s="269">
        <f ca="1">IFERROR(__xludf.DUMMYFUNCTION("IMPORTRANGE(""https://docs.google.com/spreadsheets/d/1XWAQStnk-4SwqDmLtmXYiTMKHgktTP8We1SCoS47DrQ/edit?usp=sharing"",""จัดที่ดิน!AY32"")"),0)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IFERROR(__xludf.DUMMYFUNCTION("IMPORTRANGE(""https://docs.google.com/spreadsheets/d/1XWAQStnk-4SwqDmLtmXYiTMKHgktTP8We1SCoS47DrQ/edit?usp=sharing"",""จัดที่ดิน!AZ32"")"),0)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100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15600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15600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15600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IFERROR(__xludf.DUMMYFUNCTION("IMPORTRANGE(""https://docs.google.com/spreadsheets/d/1QqKyyYR6Q21VydFLVH3TRQUabQu_ym0Zz7PgGX0-kHA/edit?usp=sharing"",""แผน!IA32"")"),100)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IFERROR(__xludf.DUMMYFUNCTION("IMPORTRANGE(""https://docs.google.com/spreadsheets/d/1QqKyyYR6Q21VydFLVH3TRQUabQu_ym0Zz7PgGX0-kHA/edit?usp=sharing"",""แผน!HZ32"")"),6)</f>
        <v>6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IFERROR(__xludf.DUMMYFUNCTION("IMPORTRANGE(""https://docs.google.com/spreadsheets/d/1QqKyyYR6Q21VydFLVH3TRQUabQu_ym0Zz7PgGX0-kHA/edit?usp=sharing"",""แผน!HZ32"")"),6)</f>
        <v>6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IFERROR(__xludf.DUMMYFUNCTION("IMPORTRANGE(""https://docs.google.com/spreadsheets/d/1QqKyyYR6Q21VydFLVH3TRQUabQu_ym0Zz7PgGX0-kHA/edit?usp=sharing"",""แผน!IB32"")"),0)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7440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7440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7440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IFERROR(__xludf.DUMMYFUNCTION("IMPORTRANGE(""https://docs.google.com/spreadsheets/d/1QqKyyYR6Q21VydFLVH3TRQUabQu_ym0Zz7PgGX0-kHA/edit?usp=sharing"",""แผน!IC32"")"),0)</f>
        <v>0</v>
      </c>
      <c r="J699" s="269">
        <f ca="1">IFERROR(__xludf.DUMMYFUNCTION("IMPORTRANGE(""https://docs.google.com/spreadsheets/d/1XWAQStnk-4SwqDmLtmXYiTMKHgktTP8We1SCoS47DrQ/edit?usp=sharing"",""จัดที่ดิน!BB32"")"),0)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IFERROR(__xludf.DUMMYFUNCTION("IMPORTRANGE(""https://docs.google.com/spreadsheets/d/1QqKyyYR6Q21VydFLVH3TRQUabQu_ym0Zz7PgGX0-kHA/edit?usp=sharing"",""แผน!ID32"")"),50)</f>
        <v>50</v>
      </c>
      <c r="J700" s="269">
        <f ca="1">IFERROR(__xludf.DUMMYFUNCTION("IMPORTRANGE(""https://docs.google.com/spreadsheets/d/1XWAQStnk-4SwqDmLtmXYiTMKHgktTP8We1SCoS47DrQ/edit?usp=sharing"",""จัดที่ดิน!BD32"")"),0)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IFERROR(__xludf.DUMMYFUNCTION("IMPORTRANGE(""https://docs.google.com/spreadsheets/d/1QqKyyYR6Q21VydFLVH3TRQUabQu_ym0Zz7PgGX0-kHA/edit?usp=sharing"",""แผน!IE32"")"),4)</f>
        <v>4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IFERROR(__xludf.DUMMYFUNCTION("IMPORTRANGE(""https://docs.google.com/spreadsheets/d/1QqKyyYR6Q21VydFLVH3TRQUabQu_ym0Zz7PgGX0-kHA/edit?usp=sharing"",""แผน!IF32"")"),4)</f>
        <v>4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IFERROR(__xludf.DUMMYFUNCTION("IMPORTRANGE(""https://docs.google.com/spreadsheets/d/1QqKyyYR6Q21VydFLVH3TRQUabQu_ym0Zz7PgGX0-kHA/edit?usp=sharing"",""แผน!IG32"")"),0)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IFERROR(__xludf.DUMMYFUNCTION("IMPORTRANGE(""https://docs.google.com/spreadsheets/d/1QqKyyYR6Q21VydFLVH3TRQUabQu_ym0Zz7PgGX0-kHA/edit?usp=sharing"",""แผน!IH32"")"),0)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IFERROR(__xludf.DUMMYFUNCTION("IMPORTRANGE(""https://docs.google.com/spreadsheets/d/1XWAQStnk-4SwqDmLtmXYiTMKHgktTP8We1SCoS47DrQ/edit?usp=sharing"",""จัดที่ดิน!BF32"")"),0)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IFERROR(__xludf.DUMMYFUNCTION("IMPORTRANGE(""https://docs.google.com/spreadsheets/d/1XWAQStnk-4SwqDmLtmXYiTMKHgktTP8We1SCoS47DrQ/edit?usp=sharing"",""จัดที่ดิน!BG32"")"),0)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IFERROR(__xludf.DUMMYFUNCTION("IMPORTRANGE(""https://docs.google.com/spreadsheets/d/1QqKyyYR6Q21VydFLVH3TRQUabQu_ym0Zz7PgGX0-kHA/edit?usp=sharing"",""แผน!II32"")"),0)</f>
        <v>0</v>
      </c>
      <c r="J720" s="269">
        <f ca="1">IFERROR(__xludf.DUMMYFUNCTION("IMPORTRANGE(""https://docs.google.com/spreadsheets/d/1XWAQStnk-4SwqDmLtmXYiTMKHgktTP8We1SCoS47DrQ/edit?usp=sharing"",""จัดที่ดิน!BH32"")"),0)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IFERROR(__xludf.DUMMYFUNCTION("IMPORTRANGE(""https://docs.google.com/spreadsheets/d/1QqKyyYR6Q21VydFLVH3TRQUabQu_ym0Zz7PgGX0-kHA/edit?usp=sharing"",""แผน!IJ32"")"),3)</f>
        <v>3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IFERROR(__xludf.DUMMYFUNCTION("IMPORTRANGE(""https://docs.google.com/spreadsheets/d/1QqKyyYR6Q21VydFLVH3TRQUabQu_ym0Zz7PgGX0-kHA/edit?usp=sharing"",""แผน!IK32"")"),2)</f>
        <v>2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IFERROR(__xludf.DUMMYFUNCTION("IMPORTRANGE(""https://docs.google.com/spreadsheets/d/1QqKyyYR6Q21VydFLVH3TRQUabQu_ym0Zz7PgGX0-kHA/edit?usp=sharing"",""แผน!IL32"")"),3)</f>
        <v>3</v>
      </c>
      <c r="J723" s="269">
        <f ca="1">IFERROR(__xludf.DUMMYFUNCTION("IMPORTRANGE(""https://docs.google.com/spreadsheets/d/1XWAQStnk-4SwqDmLtmXYiTMKHgktTP8We1SCoS47DrQ/edit?usp=sharing"",""จัดที่ดิน!BM32"")"),0)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IFERROR(__xludf.DUMMYFUNCTION("IMPORTRANGE(""https://docs.google.com/spreadsheets/d/1XWAQStnk-4SwqDmLtmXYiTMKHgktTP8We1SCoS47DrQ/edit?usp=sharing"",""จัดที่ดิน!BN32"")"),0)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IFERROR(__xludf.DUMMYFUNCTION("IMPORTRANGE(""https://docs.google.com/spreadsheets/d/1QqKyyYR6Q21VydFLVH3TRQUabQu_ym0Zz7PgGX0-kHA/edit?usp=sharing"",""แผน!IM32"")"),2)</f>
        <v>2</v>
      </c>
      <c r="J725" s="269">
        <f ca="1">IFERROR(__xludf.DUMMYFUNCTION("IMPORTRANGE(""https://docs.google.com/spreadsheets/d/1XWAQStnk-4SwqDmLtmXYiTMKHgktTP8We1SCoS47DrQ/edit?usp=sharing"",""จัดที่ดิน!BO32"")"),0)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IFERROR(__xludf.DUMMYFUNCTION("IMPORTRANGE(""https://docs.google.com/spreadsheets/d/1QqKyyYR6Q21VydFLVH3TRQUabQu_ym0Zz7PgGX0-kHA/edit?usp=sharing"",""แผน!IN32"")"),0)</f>
        <v>0</v>
      </c>
      <c r="J726" s="269">
        <f ca="1">IFERROR(__xludf.DUMMYFUNCTION("IMPORTRANGE(""https://docs.google.com/spreadsheets/d/1XWAQStnk-4SwqDmLtmXYiTMKHgktTP8We1SCoS47DrQ/edit?usp=sharing"",""จัดที่ดิน!BR32"")"),0)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IFERROR(__xludf.DUMMYFUNCTION("IMPORTRANGE(""https://docs.google.com/spreadsheets/d/1XWAQStnk-4SwqDmLtmXYiTMKHgktTP8We1SCoS47DrQ/edit?usp=sharing"",""จัดที่ดิน!BS32"")"),0)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IFERROR(__xludf.DUMMYFUNCTION("IMPORTRANGE(""https://docs.google.com/spreadsheets/d/1QqKyyYR6Q21VydFLVH3TRQUabQu_ym0Zz7PgGX0-kHA/edit?usp=sharing"",""แผน!IO32"")"),0)</f>
        <v>0</v>
      </c>
      <c r="J728" s="269">
        <f ca="1">IFERROR(__xludf.DUMMYFUNCTION("IMPORTRANGE(""https://docs.google.com/spreadsheets/d/1XWAQStnk-4SwqDmLtmXYiTMKHgktTP8We1SCoS47DrQ/edit?usp=sharing"",""จัดที่ดิน!BT32"")"),0)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IFERROR(__xludf.DUMMYFUNCTION("IMPORTRANGE(""https://docs.google.com/spreadsheets/d/1QqKyyYR6Q21VydFLVH3TRQUabQu_ym0Zz7PgGX0-kHA/edit?usp=sharing"",""แผน!IP32"")"),0)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IFERROR(__xludf.DUMMYFUNCTION("IMPORTRANGE(""https://docs.google.com/spreadsheets/d/1MaWodYyGHDf7siQLGxnXhG4mBNTNIuy296niS2xXulU/edit?usp=sharing"",""RTK!I32"")"),0)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334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69">
        <f ca="1">IFERROR(__xludf.DUMMYFUNCTION("IMPORTRANGE(""https://docs.google.com/spreadsheets/d/19vJNZY_5yjcGF2XGBMNZRCAIB0Kwfpjp8YEOfu-bneM/edit?usp=sharing"",""งานกองทุน!F32"")"),0)</f>
        <v>0</v>
      </c>
      <c r="K821" s="496">
        <f t="shared" ref="K821:K828" ca="1" si="334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IFERROR(__xludf.DUMMYFUNCTION("IMPORTRANGE(""https://docs.google.com/spreadsheets/d/19vJNZY_5yjcGF2XGBMNZRCAIB0Kwfpjp8YEOfu-bneM/edit?usp=sharing"",""งานกองทุน!C32"")"),247)</f>
        <v>247</v>
      </c>
      <c r="J822" s="269">
        <f ca="1">IFERROR(__xludf.DUMMYFUNCTION("IMPORTRANGE(""https://docs.google.com/spreadsheets/d/19vJNZY_5yjcGF2XGBMNZRCAIB0Kwfpjp8YEOfu-bneM/edit?usp=sharing"",""งานกองทุน!E32"")"),0)</f>
        <v>0</v>
      </c>
      <c r="K822" s="496">
        <f t="shared" ca="1" si="334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69">
        <f ca="1">IFERROR(__xludf.DUMMYFUNCTION("IMPORTRANGE(""https://docs.google.com/spreadsheets/d/19vJNZY_5yjcGF2XGBMNZRCAIB0Kwfpjp8YEOfu-bneM/edit?usp=sharing"",""งานกองทุน!K32"")"),159308.22)</f>
        <v>159308.22</v>
      </c>
      <c r="K823" s="496">
        <f t="shared" ca="1" si="334"/>
        <v>1.5629536213058945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IFERROR(__xludf.DUMMYFUNCTION("IMPORTRANGE(""https://docs.google.com/spreadsheets/d/19vJNZY_5yjcGF2XGBMNZRCAIB0Kwfpjp8YEOfu-bneM/edit?usp=sharing"",""งานกองทุน!H32"")"),488)</f>
        <v>488</v>
      </c>
      <c r="J824" s="269">
        <f ca="1">IFERROR(__xludf.DUMMYFUNCTION("IMPORTRANGE(""https://docs.google.com/spreadsheets/d/19vJNZY_5yjcGF2XGBMNZRCAIB0Kwfpjp8YEOfu-bneM/edit?usp=sharing"",""งานกองทุน!J32"")"),18)</f>
        <v>18</v>
      </c>
      <c r="K824" s="496">
        <f t="shared" ca="1" si="334"/>
        <v>3.6885245901639343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IFERROR(__xludf.DUMMYFUNCTION("IMPORTRANGE(""https://docs.google.com/spreadsheets/d/19vJNZY_5yjcGF2XGBMNZRCAIB0Kwfpjp8YEOfu-bneM/edit?usp=sharing"",""งานกองทุน!N32"")"),2527075.89)</f>
        <v>2527075.89</v>
      </c>
      <c r="J825" s="269">
        <f ca="1">IFERROR(__xludf.DUMMYFUNCTION("IMPORTRANGE(""https://docs.google.com/spreadsheets/d/19vJNZY_5yjcGF2XGBMNZRCAIB0Kwfpjp8YEOfu-bneM/edit?usp=sharing"",""งานกองทุน!P32"")"),102847.96)</f>
        <v>102847.96</v>
      </c>
      <c r="K825" s="496">
        <f t="shared" ca="1" si="334"/>
        <v>4.0698405776804742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IFERROR(__xludf.DUMMYFUNCTION("IMPORTRANGE(""https://docs.google.com/spreadsheets/d/19vJNZY_5yjcGF2XGBMNZRCAIB0Kwfpjp8YEOfu-bneM/edit?usp=sharing"",""งานกองทุน!M32"")"),186)</f>
        <v>186</v>
      </c>
      <c r="J826" s="269">
        <f ca="1">IFERROR(__xludf.DUMMYFUNCTION("IMPORTRANGE(""https://docs.google.com/spreadsheets/d/19vJNZY_5yjcGF2XGBMNZRCAIB0Kwfpjp8YEOfu-bneM/edit?usp=sharing"",""งานกองทุน!O32"")"),7)</f>
        <v>7</v>
      </c>
      <c r="K826" s="496">
        <f t="shared" ca="1" si="334"/>
        <v>3.763440860215054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IFERROR(__xludf.DUMMYFUNCTION("IMPORTRANGE(""https://docs.google.com/spreadsheets/d/19vJNZY_5yjcGF2XGBMNZRCAIB0Kwfpjp8YEOfu-bneM/edit?usp=sharing"",""งานกองทุน!S32"")"),5730000)</f>
        <v>5730000</v>
      </c>
      <c r="J827" s="269">
        <f ca="1">IFERROR(__xludf.DUMMYFUNCTION("IMPORTRANGE(""https://docs.google.com/spreadsheets/d/19vJNZY_5yjcGF2XGBMNZRCAIB0Kwfpjp8YEOfu-bneM/edit?usp=sharing"",""งานกองทุน!U32"")"),0)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IFERROR(__xludf.DUMMYFUNCTION("IMPORTRANGE(""https://docs.google.com/spreadsheets/d/19vJNZY_5yjcGF2XGBMNZRCAIB0Kwfpjp8YEOfu-bneM/edit?usp=sharing"",""งานกองทุน!R32"")"),229)</f>
        <v>229</v>
      </c>
      <c r="J828" s="499">
        <f ca="1">IFERROR(__xludf.DUMMYFUNCTION("IMPORTRANGE(""https://docs.google.com/spreadsheets/d/19vJNZY_5yjcGF2XGBMNZRCAIB0Kwfpjp8YEOfu-bneM/edit?usp=sharing"",""งานกองทุน!T32"")"),18)</f>
        <v>18</v>
      </c>
      <c r="K828" s="500">
        <f t="shared" ca="1" si="334"/>
        <v>7.8602620087336241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2B25B-4477-4A16-B6F5-31CBA809AED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355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9891562</v>
      </c>
      <c r="M8" s="22">
        <f t="shared" ca="1" si="0"/>
        <v>3168399</v>
      </c>
      <c r="N8" s="22">
        <f t="shared" ca="1" si="0"/>
        <v>1857786.2800000003</v>
      </c>
      <c r="O8" s="22">
        <f t="shared" ref="O8:O16" ca="1" si="1">IF(L8&gt;0,N8*100/L8,0)</f>
        <v>18.781525910670126</v>
      </c>
      <c r="P8" s="22">
        <f t="shared" ref="P8:P16" ca="1" si="2">IF(M8&gt;0,N8*100/M8,0)</f>
        <v>58.634858804083713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9891562</v>
      </c>
      <c r="M10" s="30">
        <f t="shared" ca="1" si="3"/>
        <v>3168399</v>
      </c>
      <c r="N10" s="30">
        <f t="shared" ca="1" si="3"/>
        <v>1857786.2800000003</v>
      </c>
      <c r="O10" s="30">
        <f t="shared" ca="1" si="1"/>
        <v>18.781525910670126</v>
      </c>
      <c r="P10" s="30">
        <f t="shared" ca="1" si="2"/>
        <v>58.634858804083713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9718162</v>
      </c>
      <c r="M11" s="496">
        <f t="shared" ca="1" si="4"/>
        <v>2994999</v>
      </c>
      <c r="N11" s="496">
        <f t="shared" ca="1" si="4"/>
        <v>1684386.2800000003</v>
      </c>
      <c r="O11" s="496">
        <f t="shared" ca="1" si="1"/>
        <v>17.332354410226959</v>
      </c>
      <c r="P11" s="496">
        <f t="shared" ca="1" si="2"/>
        <v>56.239961348901964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9718162</v>
      </c>
      <c r="M13" s="93">
        <f t="shared" ca="1" si="5"/>
        <v>2994999</v>
      </c>
      <c r="N13" s="93">
        <f t="shared" ca="1" si="5"/>
        <v>1684386.2800000003</v>
      </c>
      <c r="O13" s="93">
        <f t="shared" ca="1" si="1"/>
        <v>17.332354410226959</v>
      </c>
      <c r="P13" s="93">
        <f t="shared" ca="1" si="2"/>
        <v>56.239961348901964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173400</v>
      </c>
      <c r="M14" s="496">
        <f t="shared" ca="1" si="6"/>
        <v>173400</v>
      </c>
      <c r="N14" s="496">
        <f t="shared" ca="1" si="6"/>
        <v>173400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3168399</v>
      </c>
      <c r="N18" s="22">
        <f t="shared" ca="1" si="8"/>
        <v>1646066.2800000003</v>
      </c>
      <c r="O18" s="22">
        <f t="shared" ref="O18:O26" ca="1" si="9">IF(L18&gt;0,N18*100/L18,0)</f>
        <v>27.579381439153476</v>
      </c>
      <c r="P18" s="22">
        <f t="shared" ref="P18:P26" ca="1" si="10">IF(M18&gt;0,N18*100/M18,0)</f>
        <v>51.952619603780974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3168399</v>
      </c>
      <c r="N20" s="30">
        <f t="shared" ca="1" si="11"/>
        <v>1646066.2800000003</v>
      </c>
      <c r="O20" s="30">
        <f t="shared" ca="1" si="9"/>
        <v>27.579381439153476</v>
      </c>
      <c r="P20" s="30">
        <f t="shared" ca="1" si="10"/>
        <v>51.952619603780974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5795067</v>
      </c>
      <c r="M21" s="496">
        <f t="shared" ca="1" si="12"/>
        <v>2994999</v>
      </c>
      <c r="N21" s="496">
        <f t="shared" ca="1" si="12"/>
        <v>1472666.2800000003</v>
      </c>
      <c r="O21" s="496">
        <f t="shared" ca="1" si="9"/>
        <v>25.412411625266806</v>
      </c>
      <c r="P21" s="496">
        <f t="shared" ca="1" si="10"/>
        <v>49.170843796608956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5795067</v>
      </c>
      <c r="M23" s="93">
        <f t="shared" ca="1" si="13"/>
        <v>2994999</v>
      </c>
      <c r="N23" s="93">
        <f t="shared" ca="1" si="13"/>
        <v>1472666.2800000003</v>
      </c>
      <c r="O23" s="93">
        <f t="shared" ca="1" si="9"/>
        <v>25.412411625266806</v>
      </c>
      <c r="P23" s="93">
        <f t="shared" ca="1" si="10"/>
        <v>49.170843796608956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173400</v>
      </c>
      <c r="M24" s="496">
        <f t="shared" ca="1" si="14"/>
        <v>173400</v>
      </c>
      <c r="N24" s="496">
        <f t="shared" ca="1" si="14"/>
        <v>173400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3923095</v>
      </c>
      <c r="M28" s="22">
        <f t="shared" si="16"/>
        <v>0</v>
      </c>
      <c r="N28" s="22">
        <f t="shared" si="16"/>
        <v>211720</v>
      </c>
      <c r="O28" s="22">
        <f t="shared" ref="O28:O37" ca="1" si="17">IF(L28&gt;0,N28*100/L28,0)</f>
        <v>5.3967594463045119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3923095</v>
      </c>
      <c r="M30" s="30">
        <f t="shared" si="19"/>
        <v>0</v>
      </c>
      <c r="N30" s="30">
        <f t="shared" si="19"/>
        <v>211720</v>
      </c>
      <c r="O30" s="30">
        <f t="shared" ca="1" si="17"/>
        <v>5.3967594463045119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3923095</v>
      </c>
      <c r="M31" s="496">
        <f t="shared" si="20"/>
        <v>0</v>
      </c>
      <c r="N31" s="496">
        <f t="shared" si="20"/>
        <v>211720</v>
      </c>
      <c r="O31" s="496">
        <f t="shared" ca="1" si="17"/>
        <v>5.3967594463045119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3923095</v>
      </c>
      <c r="M33" s="93">
        <f t="shared" si="21"/>
        <v>0</v>
      </c>
      <c r="N33" s="93">
        <f t="shared" si="21"/>
        <v>211720</v>
      </c>
      <c r="O33" s="93">
        <f t="shared" ca="1" si="17"/>
        <v>5.3967594463045119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5968467</v>
      </c>
      <c r="M37" s="59">
        <f t="shared" ca="1" si="24"/>
        <v>3168399</v>
      </c>
      <c r="N37" s="59">
        <f t="shared" ca="1" si="24"/>
        <v>1646066.2800000003</v>
      </c>
      <c r="O37" s="59">
        <f t="shared" ca="1" si="17"/>
        <v>27.579381439153476</v>
      </c>
      <c r="P37" s="59">
        <f t="shared" ca="1" si="18"/>
        <v>51.952619603780974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348692</v>
      </c>
      <c r="N41" s="85">
        <f t="shared" ca="1" si="25"/>
        <v>142642</v>
      </c>
      <c r="O41" s="85">
        <f t="shared" ref="O41:O49" ca="1" si="26">IF(L41&gt;0,N41*100/L41,0)</f>
        <v>20.650546803292691</v>
      </c>
      <c r="P41" s="85">
        <f t="shared" ref="P41:P49" ca="1" si="27">IF(M41&gt;0,N41*100/M41,0)</f>
        <v>40.907735193236441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348692</v>
      </c>
      <c r="N43" s="92">
        <f t="shared" ca="1" si="28"/>
        <v>142642</v>
      </c>
      <c r="O43" s="92">
        <f t="shared" ca="1" si="26"/>
        <v>20.650546803292691</v>
      </c>
      <c r="P43" s="92">
        <f t="shared" ca="1" si="27"/>
        <v>40.907735193236441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690742</v>
      </c>
      <c r="M44" s="496">
        <f t="shared" ca="1" si="29"/>
        <v>348692</v>
      </c>
      <c r="N44" s="496">
        <f t="shared" ca="1" si="29"/>
        <v>142642</v>
      </c>
      <c r="O44" s="496">
        <f t="shared" ca="1" si="26"/>
        <v>20.650546803292691</v>
      </c>
      <c r="P44" s="496">
        <f t="shared" ca="1" si="27"/>
        <v>40.907735193236441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IFERROR(__xludf.DUMMYFUNCTION("IMPORTRANGE(""https://docs.google.com/spreadsheets/d/1MeEWN-I1oV_STSDYn1IFDPWt_1FKiwhDph83XaGc0o0/edit?usp=sharing"",""งบพรบ!R50"")"),348692)</f>
        <v>348692</v>
      </c>
      <c r="N46" s="93">
        <f ca="1">IFERROR(__xludf.DUMMYFUNCTION("IMPORTRANGE(""https://docs.google.com/spreadsheets/d/1MeEWN-I1oV_STSDYn1IFDPWt_1FKiwhDph83XaGc0o0/edit?usp=sharing"",""งบพรบ!T50"")"),142642)</f>
        <v>142642</v>
      </c>
      <c r="O46" s="93">
        <f t="shared" ca="1" si="26"/>
        <v>20.650546803292691</v>
      </c>
      <c r="P46" s="93">
        <f t="shared" ca="1" si="27"/>
        <v>40.907735193236441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425150</v>
      </c>
      <c r="N53" s="116">
        <f t="shared" ca="1" si="31"/>
        <v>263983.21000000002</v>
      </c>
      <c r="O53" s="116">
        <f t="shared" ref="O53:O61" ca="1" si="32">IF(L53&gt;0,N53*100/L53,0)</f>
        <v>31.045890862048694</v>
      </c>
      <c r="P53" s="116">
        <f t="shared" ref="P53:P61" ca="1" si="33">IF(M53&gt;0,N53*100/M53,0)</f>
        <v>62.091781724097387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425150</v>
      </c>
      <c r="N55" s="123">
        <f t="shared" ca="1" si="34"/>
        <v>263983.21000000002</v>
      </c>
      <c r="O55" s="123">
        <f t="shared" ca="1" si="32"/>
        <v>31.045890862048694</v>
      </c>
      <c r="P55" s="123">
        <f t="shared" ca="1" si="33"/>
        <v>62.091781724097387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850300</v>
      </c>
      <c r="M56" s="496">
        <f t="shared" ca="1" si="35"/>
        <v>425150</v>
      </c>
      <c r="N56" s="496">
        <f t="shared" ca="1" si="35"/>
        <v>263983.21000000002</v>
      </c>
      <c r="O56" s="496">
        <f t="shared" ca="1" si="32"/>
        <v>31.045890862048694</v>
      </c>
      <c r="P56" s="496">
        <f t="shared" ca="1" si="33"/>
        <v>62.091781724097387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IFERROR(__xludf.DUMMYFUNCTION("IMPORTRANGE(""https://docs.google.com/spreadsheets/d/1MeEWN-I1oV_STSDYn1IFDPWt_1FKiwhDph83XaGc0o0/edit?usp=sharing"",""งบพรบ!AB50"")"),425150)</f>
        <v>425150</v>
      </c>
      <c r="N58" s="93">
        <f ca="1">IFERROR(__xludf.DUMMYFUNCTION("IMPORTRANGE(""https://docs.google.com/spreadsheets/d/1MeEWN-I1oV_STSDYn1IFDPWt_1FKiwhDph83XaGc0o0/edit?usp=sharing"",""งบพรบ!AD50"")"),263983.21)</f>
        <v>263983.21000000002</v>
      </c>
      <c r="O58" s="93">
        <f t="shared" ca="1" si="32"/>
        <v>31.045890862048694</v>
      </c>
      <c r="P58" s="93">
        <f t="shared" ca="1" si="33"/>
        <v>62.091781724097387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IFERROR(__xludf.DUMMYFUNCTION("IMPORTRANGE(""https://docs.google.com/spreadsheets/d/1MeEWN-I1oV_STSDYn1IFDPWt_1FKiwhDph83XaGc0o0/edit?usp=sharing"",""งบพรบ!AC50"")"),0)</f>
        <v>0</v>
      </c>
      <c r="N61" s="52">
        <f ca="1">IFERROR(__xludf.DUMMYFUNCTION("IMPORTRANGE(""https://docs.google.com/spreadsheets/d/1MeEWN-I1oV_STSDYn1IFDPWt_1FKiwhDph83XaGc0o0/edit?usp=sharing"",""งบพรบ!AE50"")"),0)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70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1079500</v>
      </c>
      <c r="M66" s="155">
        <f t="shared" ca="1" si="39"/>
        <v>514750</v>
      </c>
      <c r="N66" s="155">
        <f t="shared" ca="1" si="39"/>
        <v>312114.89</v>
      </c>
      <c r="O66" s="155">
        <f t="shared" ref="O66:O74" ca="1" si="40">IF(L66&gt;0,N66*100/L66,0)</f>
        <v>28.912912459471979</v>
      </c>
      <c r="P66" s="155">
        <f t="shared" ref="P66:P74" ca="1" si="41">IF(M66&gt;0,N66*100/M66,0)</f>
        <v>60.634267119961144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1079500</v>
      </c>
      <c r="M68" s="93">
        <f t="shared" ca="1" si="42"/>
        <v>514750</v>
      </c>
      <c r="N68" s="93">
        <f t="shared" ca="1" si="42"/>
        <v>312114.89</v>
      </c>
      <c r="O68" s="93">
        <f t="shared" ca="1" si="40"/>
        <v>28.912912459471979</v>
      </c>
      <c r="P68" s="93">
        <f t="shared" ca="1" si="41"/>
        <v>60.634267119961144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1079500</v>
      </c>
      <c r="M69" s="496">
        <f t="shared" ca="1" si="43"/>
        <v>514750</v>
      </c>
      <c r="N69" s="496">
        <f t="shared" ca="1" si="43"/>
        <v>312114.89</v>
      </c>
      <c r="O69" s="496">
        <f t="shared" ca="1" si="40"/>
        <v>28.912912459471979</v>
      </c>
      <c r="P69" s="496">
        <f t="shared" ca="1" si="41"/>
        <v>60.634267119961144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IFERROR(__xludf.DUMMYFUNCTION("IMPORTRANGE(""https://docs.google.com/spreadsheets/d/1MeEWN-I1oV_STSDYn1IFDPWt_1FKiwhDph83XaGc0o0/edit?usp=sharing"",""งบพรบ!AL50"")"),514750)</f>
        <v>514750</v>
      </c>
      <c r="N71" s="93">
        <f ca="1">IFERROR(__xludf.DUMMYFUNCTION("IMPORTRANGE(""https://docs.google.com/spreadsheets/d/1MeEWN-I1oV_STSDYn1IFDPWt_1FKiwhDph83XaGc0o0/edit?usp=sharing"",""งบพรบ!AN50"")"),312114.89)</f>
        <v>312114.89</v>
      </c>
      <c r="O71" s="93">
        <f t="shared" ca="1" si="40"/>
        <v>28.912912459471979</v>
      </c>
      <c r="P71" s="93">
        <f t="shared" ca="1" si="41"/>
        <v>60.634267119961144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70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85840</v>
      </c>
      <c r="M88" s="155">
        <f t="shared" ca="1" si="49"/>
        <v>21840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85840</v>
      </c>
      <c r="M90" s="93">
        <f t="shared" ca="1" si="52"/>
        <v>21840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85840</v>
      </c>
      <c r="M91" s="496">
        <f t="shared" ca="1" si="53"/>
        <v>21840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IFERROR(__xludf.DUMMYFUNCTION("IMPORTRANGE(""https://docs.google.com/spreadsheets/d/1MeEWN-I1oV_STSDYn1IFDPWt_1FKiwhDph83XaGc0o0/edit?usp=sharing"",""งบพรบ!AV50"")"),21840)</f>
        <v>21840</v>
      </c>
      <c r="N93" s="93">
        <f ca="1">IFERROR(__xludf.DUMMYFUNCTION("IMPORTRANGE(""https://docs.google.com/spreadsheets/d/1MeEWN-I1oV_STSDYn1IFDPWt_1FKiwhDph83XaGc0o0/edit?usp=sharing"",""งบพรบ!AX50"")"),0)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IFERROR(__xludf.DUMMYFUNCTION("IMPORTRANGE(""https://docs.google.com/spreadsheets/d/1QqKyyYR6Q21VydFLVH3TRQUabQu_ym0Zz7PgGX0-kHA/edit?usp=sharing"",""แผน!K50"")"),30)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IFERROR(__xludf.DUMMYFUNCTION("IMPORTRANGE(""https://docs.google.com/spreadsheets/d/1QqKyyYR6Q21VydFLVH3TRQUabQu_ym0Zz7PgGX0-kHA/edit?usp=sharing"",""แผน!L50"")"),10)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IFERROR(__xludf.DUMMYFUNCTION("IMPORTRANGE(""https://docs.google.com/spreadsheets/d/1QqKyyYR6Q21VydFLVH3TRQUabQu_ym0Zz7PgGX0-kHA/edit?usp=sharing"",""แผน!M50"")"),2)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IFERROR(__xludf.DUMMYFUNCTION("IMPORTRANGE(""https://docs.google.com/spreadsheets/d/1QqKyyYR6Q21VydFLVH3TRQUabQu_ym0Zz7PgGX0-kHA/edit?usp=sharing"",""แผน!N50"")"),30)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IFERROR(__xludf.DUMMYFUNCTION("IMPORTRANGE(""https://docs.google.com/spreadsheets/d/1QqKyyYR6Q21VydFLVH3TRQUabQu_ym0Zz7PgGX0-kHA/edit?usp=sharing"",""แผน!O50"")"),10)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IFERROR(__xludf.DUMMYFUNCTION("IMPORTRANGE(""https://docs.google.com/spreadsheets/d/1QqKyyYR6Q21VydFLVH3TRQUabQu_ym0Zz7PgGX0-kHA/edit?usp=sharing"",""แผน!O50"")"),10)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IFERROR(__xludf.DUMMYFUNCTION("IMPORTRANGE(""https://docs.google.com/spreadsheets/d/1QqKyyYR6Q21VydFLVH3TRQUabQu_ym0Zz7PgGX0-kHA/edit?usp=sharing"",""แผน!P50"")"),1)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IFERROR(__xludf.DUMMYFUNCTION("IMPORTRANGE(""https://docs.google.com/spreadsheets/d/1QqKyyYR6Q21VydFLVH3TRQUabQu_ym0Zz7PgGX0-kHA/edit?usp=sharing"",""แผน!P50"")"),1)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IFERROR(__xludf.DUMMYFUNCTION("IMPORTRANGE(""https://docs.google.com/spreadsheets/d/1QqKyyYR6Q21VydFLVH3TRQUabQu_ym0Zz7PgGX0-kHA/edit?usp=sharing"",""แผน!Q50"")"),1)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IFERROR(__xludf.DUMMYFUNCTION("IMPORTRANGE(""https://docs.google.com/spreadsheets/d/1QqKyyYR6Q21VydFLVH3TRQUabQu_ym0Zz7PgGX0-kHA/edit?usp=sharing"",""แผน!Q50"")"),1)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IFERROR(__xludf.DUMMYFUNCTION("IMPORTRANGE(""https://docs.google.com/spreadsheets/d/1QqKyyYR6Q21VydFLVH3TRQUabQu_ym0Zz7PgGX0-kHA/edit?usp=sharing"",""แผน!U50"")"),0)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IFERROR(__xludf.DUMMYFUNCTION("IMPORTRANGE(""https://docs.google.com/spreadsheets/d/1QqKyyYR6Q21VydFLVH3TRQUabQu_ym0Zz7PgGX0-kHA/edit?usp=sharing"",""แผน!V50"")"),0)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IFERROR(__xludf.DUMMYFUNCTION("IMPORTRANGE(""https://docs.google.com/spreadsheets/d/1QqKyyYR6Q21VydFLVH3TRQUabQu_ym0Zz7PgGX0-kHA/edit?usp=sharing"",""แผน!W50"")"),0)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10000</v>
      </c>
      <c r="M152" s="496">
        <f t="shared" ca="1" si="81"/>
        <v>10000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IFERROR(__xludf.DUMMYFUNCTION("IMPORTRANGE(""https://docs.google.com/spreadsheets/d/1MeEWN-I1oV_STSDYn1IFDPWt_1FKiwhDph83XaGc0o0/edit?usp=sharing"",""งบพรบ!BZ50"")"),10000)</f>
        <v>10000</v>
      </c>
      <c r="N154" s="93">
        <f ca="1">IFERROR(__xludf.DUMMYFUNCTION("IMPORTRANGE(""https://docs.google.com/spreadsheets/d/1MeEWN-I1oV_STSDYn1IFDPWt_1FKiwhDph83XaGc0o0/edit?usp=sharing"",""งบพรบ!CB50"")"),0)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IFERROR(__xludf.DUMMYFUNCTION("IMPORTRANGE(""https://docs.google.com/spreadsheets/d/1QqKyyYR6Q21VydFLVH3TRQUabQu_ym0Zz7PgGX0-kHA/edit?usp=sharing"",""แผน!X50"")"),20)</f>
        <v>20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11</v>
      </c>
      <c r="J164" s="252">
        <f t="shared" si="83"/>
        <v>0</v>
      </c>
      <c r="K164" s="253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22055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IFERROR(__xludf.DUMMYFUNCTION("IMPORTRANGE(""https://docs.google.com/spreadsheets/d/1MeEWN-I1oV_STSDYn1IFDPWt_1FKiwhDph83XaGc0o0/edit?usp=sharing"",""งบพรบ!CJ50"")"),22055)</f>
        <v>22055</v>
      </c>
      <c r="N170" s="93">
        <f ca="1">IFERROR(__xludf.DUMMYFUNCTION("IMPORTRANGE(""https://docs.google.com/spreadsheets/d/1MeEWN-I1oV_STSDYn1IFDPWt_1FKiwhDph83XaGc0o0/edit?usp=sharing"",""งบพรบ!CL50"")"),22055)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IFERROR(__xludf.DUMMYFUNCTION("IMPORTRANGE(""https://docs.google.com/spreadsheets/d/1QqKyyYR6Q21VydFLVH3TRQUabQu_ym0Zz7PgGX0-kHA/edit?usp=sharing"",""แผน!Y50"")"),11)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1">L182+L183</f>
        <v>93500</v>
      </c>
      <c r="M181" s="155">
        <f t="shared" ca="1" si="91"/>
        <v>57000</v>
      </c>
      <c r="N181" s="155">
        <f t="shared" ca="1" si="91"/>
        <v>27000</v>
      </c>
      <c r="O181" s="155">
        <f t="shared" ref="O181:O189" ca="1" si="92">IF(L181&gt;0,N181*100/L181,0)</f>
        <v>28.877005347593585</v>
      </c>
      <c r="P181" s="155">
        <f t="shared" ref="P181:P189" ca="1" si="93">IF(M181&gt;0,N181*100/M181,0)</f>
        <v>47.368421052631582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93500</v>
      </c>
      <c r="M183" s="93">
        <f t="shared" ca="1" si="94"/>
        <v>57000</v>
      </c>
      <c r="N183" s="93">
        <f t="shared" ca="1" si="94"/>
        <v>27000</v>
      </c>
      <c r="O183" s="93">
        <f t="shared" ca="1" si="92"/>
        <v>28.877005347593585</v>
      </c>
      <c r="P183" s="93">
        <f t="shared" ca="1" si="93"/>
        <v>47.368421052631582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93500</v>
      </c>
      <c r="M184" s="496">
        <f t="shared" ca="1" si="95"/>
        <v>57000</v>
      </c>
      <c r="N184" s="496">
        <f t="shared" ca="1" si="95"/>
        <v>27000</v>
      </c>
      <c r="O184" s="496">
        <f t="shared" ca="1" si="92"/>
        <v>28.877005347593585</v>
      </c>
      <c r="P184" s="496">
        <f t="shared" ca="1" si="93"/>
        <v>47.368421052631582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IFERROR(__xludf.DUMMYFUNCTION("IMPORTRANGE(""https://docs.google.com/spreadsheets/d/1MeEWN-I1oV_STSDYn1IFDPWt_1FKiwhDph83XaGc0o0/edit?usp=sharing"",""งบพรบ!CT50"")"),57000)</f>
        <v>57000</v>
      </c>
      <c r="N186" s="93">
        <f ca="1">IFERROR(__xludf.DUMMYFUNCTION("IMPORTRANGE(""https://docs.google.com/spreadsheets/d/1MeEWN-I1oV_STSDYn1IFDPWt_1FKiwhDph83XaGc0o0/edit?usp=sharing"",""งบพรบ!CV50"")"),27000)</f>
        <v>27000</v>
      </c>
      <c r="O186" s="93">
        <f t="shared" ca="1" si="92"/>
        <v>28.877005347593585</v>
      </c>
      <c r="P186" s="93">
        <f t="shared" ca="1" si="93"/>
        <v>47.368421052631582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IFERROR(__xludf.DUMMYFUNCTION("IMPORTRANGE(""https://docs.google.com/spreadsheets/d/1QqKyyYR6Q21VydFLVH3TRQUabQu_ym0Zz7PgGX0-kHA/edit?usp=sharing"",""แผน!AC50"")"),4)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1720</v>
      </c>
      <c r="O198" s="155">
        <f ca="1">IF(L198&gt;0,N198*100/L198,0)</f>
        <v>4.4102564102564106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IFERROR(__xludf.DUMMYFUNCTION("IMPORTRANGE(""https://docs.google.com/spreadsheets/d/1QqKyyYR6Q21VydFLVH3TRQUabQu_ym0Zz7PgGX0-kHA/edit?usp=sharing"",""แผน!AE50"")"),3000)</f>
        <v>3000</v>
      </c>
      <c r="M199" s="496"/>
      <c r="N199" s="816">
        <v>1720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IFERROR(__xludf.DUMMYFUNCTION("IMPORTRANGE(""https://docs.google.com/spreadsheets/d/1QqKyyYR6Q21VydFLVH3TRQUabQu_ym0Zz7PgGX0-kHA/edit?usp=sharing"",""แผน!AF50"")"),24000)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IFERROR(__xludf.DUMMYFUNCTION("IMPORTRANGE(""https://docs.google.com/spreadsheets/d/1QqKyyYR6Q21VydFLVH3TRQUabQu_ym0Zz7PgGX0-kHA/edit?usp=sharing"",""แผน!AG50"")"),12000)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IFERROR(__xludf.DUMMYFUNCTION("IMPORTRANGE(""https://docs.google.com/spreadsheets/d/1QqKyyYR6Q21VydFLVH3TRQUabQu_ym0Zz7PgGX0-kHA/edit?usp=sharing"",""แผน!AH50"")"),0)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IFERROR(__xludf.DUMMYFUNCTION("IMPORTRANGE(""https://docs.google.com/spreadsheets/d/1QqKyyYR6Q21VydFLVH3TRQUabQu_ym0Zz7PgGX0-kHA/edit?usp=sharing"",""แผน!AI50"")"),3)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3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42000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IFERROR(__xludf.DUMMYFUNCTION("IMPORTRANGE(""https://docs.google.com/spreadsheets/d/1QqKyyYR6Q21VydFLVH3TRQUabQu_ym0Zz7PgGX0-kHA/edit?usp=sharing"",""แผน!AK50"")"),3000)</f>
        <v>3000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IFERROR(__xludf.DUMMYFUNCTION("IMPORTRANGE(""https://docs.google.com/spreadsheets/d/1QqKyyYR6Q21VydFLVH3TRQUabQu_ym0Zz7PgGX0-kHA/edit?usp=sharing"",""แผน!AL50"")"),15000)</f>
        <v>15000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IFERROR(__xludf.DUMMYFUNCTION("IMPORTRANGE(""https://docs.google.com/spreadsheets/d/1QqKyyYR6Q21VydFLVH3TRQUabQu_ym0Zz7PgGX0-kHA/edit?usp=sharing"",""แผน!AM50"")"),24000)</f>
        <v>24000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IFERROR(__xludf.DUMMYFUNCTION("IMPORTRANGE(""https://docs.google.com/spreadsheets/d/1QqKyyYR6Q21VydFLVH3TRQUabQu_ym0Zz7PgGX0-kHA/edit?usp=sharing"",""แผน!AN50"")"),3)</f>
        <v>3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IFERROR(__xludf.DUMMYFUNCTION("IMPORTRANGE(""https://docs.google.com/spreadsheets/d/1QqKyyYR6Q21VydFLVH3TRQUabQu_ym0Zz7PgGX0-kHA/edit?usp=sharing"",""แผน!AN50"")"),3)</f>
        <v>3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IFERROR(__xludf.DUMMYFUNCTION("IMPORTRANGE(""https://docs.google.com/spreadsheets/d/1QqKyyYR6Q21VydFLVH3TRQUabQu_ym0Zz7PgGX0-kHA/edit?usp=sharing"",""แผน!AP50"")"),3000)</f>
        <v>3000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IFERROR(__xludf.DUMMYFUNCTION("IMPORTRANGE(""https://docs.google.com/spreadsheets/d/1QqKyyYR6Q21VydFLVH3TRQUabQu_ym0Zz7PgGX0-kHA/edit?usp=sharing"",""แผน!AQ50"")"),3500)</f>
        <v>3500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IFERROR(__xludf.DUMMYFUNCTION("IMPORTRANGE(""https://docs.google.com/spreadsheets/d/1QqKyyYR6Q21VydFLVH3TRQUabQu_ym0Zz7PgGX0-kHA/edit?usp=sharing"",""แผน!AR50"")"),0)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IFERROR(__xludf.DUMMYFUNCTION("IMPORTRANGE(""https://docs.google.com/spreadsheets/d/1QqKyyYR6Q21VydFLVH3TRQUabQu_ym0Zz7PgGX0-kHA/edit?usp=sharing"",""แผน!AT50"")"),10000)</f>
        <v>10000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IFERROR(__xludf.DUMMYFUNCTION("IMPORTRANGE(""https://docs.google.com/spreadsheets/d/1QqKyyYR6Q21VydFLVH3TRQUabQu_ym0Zz7PgGX0-kHA/edit?usp=sharing"",""แผน!AT50"")"),10000)</f>
        <v>10000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IFERROR(__xludf.DUMMYFUNCTION("IMPORTRANGE(""https://docs.google.com/spreadsheets/d/1QqKyyYR6Q21VydFLVH3TRQUabQu_ym0Zz7PgGX0-kHA/edit?usp=sharing"",""แผน!AS50"")"),0)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IFERROR(__xludf.DUMMYFUNCTION("IMPORTRANGE(""https://docs.google.com/spreadsheets/d/1QqKyyYR6Q21VydFLVH3TRQUabQu_ym0Zz7PgGX0-kHA/edit?usp=sharing"",""แผน!AV50"")"),0)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IFERROR(__xludf.DUMMYFUNCTION("IMPORTRANGE(""https://docs.google.com/spreadsheets/d/1QqKyyYR6Q21VydFLVH3TRQUabQu_ym0Zz7PgGX0-kHA/edit?usp=sharing"",""แผน!AW50"")"),0)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IFERROR(__xludf.DUMMYFUNCTION("IMPORTRANGE(""https://docs.google.com/spreadsheets/d/1QqKyyYR6Q21VydFLVH3TRQUabQu_ym0Zz7PgGX0-kHA/edit?usp=sharing"",""แผน!AX50"")"),0)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IFERROR(__xludf.DUMMYFUNCTION("IMPORTRANGE(""https://docs.google.com/spreadsheets/d/1QqKyyYR6Q21VydFLVH3TRQUabQu_ym0Zz7PgGX0-kHA/edit?usp=sharing"",""แผน!AY50"")"),0)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IFERROR(__xludf.DUMMYFUNCTION("IMPORTRANGE(""https://docs.google.com/spreadsheets/d/1QqKyyYR6Q21VydFLVH3TRQUabQu_ym0Zz7PgGX0-kHA/edit?usp=sharing"",""แผน!BE50"")"),0)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IFERROR(__xludf.DUMMYFUNCTION("IMPORTRANGE(""https://docs.google.com/spreadsheets/d/1QqKyyYR6Q21VydFLVH3TRQUabQu_ym0Zz7PgGX0-kHA/edit?usp=sharing"",""แผน!AZ50"")"),0)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IFERROR(__xludf.DUMMYFUNCTION("IMPORTRANGE(""https://docs.google.com/spreadsheets/d/1QqKyyYR6Q21VydFLVH3TRQUabQu_ym0Zz7PgGX0-kHA/edit?usp=sharing"",""แผน!BA50"")"),0)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IFERROR(__xludf.DUMMYFUNCTION("IMPORTRANGE(""https://docs.google.com/spreadsheets/d/1QqKyyYR6Q21VydFLVH3TRQUabQu_ym0Zz7PgGX0-kHA/edit?usp=sharing"",""แผน!BB50"")"),0)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IFERROR(__xludf.DUMMYFUNCTION("IMPORTRANGE(""https://docs.google.com/spreadsheets/d/1QqKyyYR6Q21VydFLVH3TRQUabQu_ym0Zz7PgGX0-kHA/edit?usp=sharing"",""แผน!BC50"")"),0)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IFERROR(__xludf.DUMMYFUNCTION("IMPORTRANGE(""https://docs.google.com/spreadsheets/d/1QqKyyYR6Q21VydFLVH3TRQUabQu_ym0Zz7PgGX0-kHA/edit?usp=sharing"",""แผน!BF50"")"),0)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20</v>
      </c>
      <c r="J260" s="252">
        <f t="shared" si="114"/>
        <v>4</v>
      </c>
      <c r="K260" s="253">
        <f ca="1">IF(I260&gt;0,J260*100/I260,0)</f>
        <v>20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25000</v>
      </c>
      <c r="M261" s="155">
        <f t="shared" ca="1" si="115"/>
        <v>22000</v>
      </c>
      <c r="N261" s="155">
        <f t="shared" ca="1" si="115"/>
        <v>4260</v>
      </c>
      <c r="O261" s="155">
        <f t="shared" ref="O261:O269" ca="1" si="116">IF(L261&gt;0,N261*100/L261,0)</f>
        <v>17.04</v>
      </c>
      <c r="P261" s="155">
        <f t="shared" ref="P261:P269" ca="1" si="117">IF(M261&gt;0,N261*100/M261,0)</f>
        <v>19.363636363636363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25000</v>
      </c>
      <c r="M263" s="93">
        <f t="shared" ca="1" si="118"/>
        <v>22000</v>
      </c>
      <c r="N263" s="93">
        <f t="shared" ca="1" si="118"/>
        <v>4260</v>
      </c>
      <c r="O263" s="93">
        <f t="shared" ca="1" si="116"/>
        <v>17.04</v>
      </c>
      <c r="P263" s="93">
        <f t="shared" ca="1" si="117"/>
        <v>19.363636363636363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25000</v>
      </c>
      <c r="M264" s="496">
        <f t="shared" ca="1" si="119"/>
        <v>22000</v>
      </c>
      <c r="N264" s="496">
        <f t="shared" ca="1" si="119"/>
        <v>4260</v>
      </c>
      <c r="O264" s="496">
        <f t="shared" ca="1" si="116"/>
        <v>17.04</v>
      </c>
      <c r="P264" s="496">
        <f t="shared" ca="1" si="117"/>
        <v>19.363636363636363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IFERROR(__xludf.DUMMYFUNCTION("IMPORTRANGE(""https://docs.google.com/spreadsheets/d/1MeEWN-I1oV_STSDYn1IFDPWt_1FKiwhDph83XaGc0o0/edit?usp=sharing"",""งบพรบ!DD50"")"),22000)</f>
        <v>22000</v>
      </c>
      <c r="N266" s="93">
        <f ca="1">IFERROR(__xludf.DUMMYFUNCTION("IMPORTRANGE(""https://docs.google.com/spreadsheets/d/1MeEWN-I1oV_STSDYn1IFDPWt_1FKiwhDph83XaGc0o0/edit?usp=sharing"",""งบพรบ!DF50"")"),4260)</f>
        <v>4260</v>
      </c>
      <c r="O266" s="93">
        <f t="shared" ca="1" si="116"/>
        <v>17.04</v>
      </c>
      <c r="P266" s="93">
        <f t="shared" ca="1" si="117"/>
        <v>19.363636363636363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IFERROR(__xludf.DUMMYFUNCTION("IMPORTRANGE(""https://docs.google.com/spreadsheets/d/1QqKyyYR6Q21VydFLVH3TRQUabQu_ym0Zz7PgGX0-kHA/edit?usp=sharing"",""แผน!EA50"")"),20)</f>
        <v>20</v>
      </c>
      <c r="J271" s="214">
        <v>4</v>
      </c>
      <c r="K271" s="163">
        <f ca="1">IF(I271&gt;0,J271*100/I271,0)</f>
        <v>20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50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500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181410</v>
      </c>
      <c r="M277" s="155">
        <f t="shared" ca="1" si="124"/>
        <v>76100</v>
      </c>
      <c r="N277" s="155">
        <f t="shared" ca="1" si="124"/>
        <v>12340</v>
      </c>
      <c r="O277" s="155">
        <f t="shared" ref="O277:O285" ca="1" si="125">IF(L277&gt;0,N277*100/L277,0)</f>
        <v>6.8022710986163935</v>
      </c>
      <c r="P277" s="155">
        <f t="shared" ref="P277:P285" ca="1" si="126">IF(M277&gt;0,N277*100/M277,0)</f>
        <v>16.215505913272011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181410</v>
      </c>
      <c r="M279" s="93">
        <f t="shared" ca="1" si="127"/>
        <v>76100</v>
      </c>
      <c r="N279" s="93">
        <f t="shared" ca="1" si="127"/>
        <v>12340</v>
      </c>
      <c r="O279" s="93">
        <f t="shared" ca="1" si="125"/>
        <v>6.8022710986163935</v>
      </c>
      <c r="P279" s="93">
        <f t="shared" ca="1" si="126"/>
        <v>16.215505913272011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181410</v>
      </c>
      <c r="M280" s="496">
        <f t="shared" ca="1" si="128"/>
        <v>76100</v>
      </c>
      <c r="N280" s="496">
        <f t="shared" ca="1" si="128"/>
        <v>12340</v>
      </c>
      <c r="O280" s="496">
        <f t="shared" ca="1" si="125"/>
        <v>6.8022710986163935</v>
      </c>
      <c r="P280" s="496">
        <f t="shared" ca="1" si="126"/>
        <v>16.215505913272011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IFERROR(__xludf.DUMMYFUNCTION("IMPORTRANGE(""https://docs.google.com/spreadsheets/d/1MeEWN-I1oV_STSDYn1IFDPWt_1FKiwhDph83XaGc0o0/edit?usp=sharing"",""งบพรบ!DN50"")"),76100)</f>
        <v>76100</v>
      </c>
      <c r="N282" s="93">
        <f ca="1">IFERROR(__xludf.DUMMYFUNCTION("IMPORTRANGE(""https://docs.google.com/spreadsheets/d/1MeEWN-I1oV_STSDYn1IFDPWt_1FKiwhDph83XaGc0o0/edit?usp=sharing"",""งบพรบ!DP50"")"),12340)</f>
        <v>12340</v>
      </c>
      <c r="O282" s="93">
        <f t="shared" ca="1" si="125"/>
        <v>6.8022710986163935</v>
      </c>
      <c r="P282" s="93">
        <f t="shared" ca="1" si="126"/>
        <v>16.215505913272011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IFERROR(__xludf.DUMMYFUNCTION("IMPORTRANGE(""https://docs.google.com/spreadsheets/d/1QqKyyYR6Q21VydFLVH3TRQUabQu_ym0Zz7PgGX0-kHA/edit?usp=sharing"",""แผน!EC50"")"),500)</f>
        <v>500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IFERROR(__xludf.DUMMYFUNCTION("IMPORTRANGE(""https://docs.google.com/spreadsheets/d/1QqKyyYR6Q21VydFLVH3TRQUabQu_ym0Zz7PgGX0-kHA/edit?usp=sharing"",""แผน!EB50"")"),50)</f>
        <v>50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IFERROR(__xludf.DUMMYFUNCTION("IMPORTRANGE(""https://docs.google.com/spreadsheets/d/1QqKyyYR6Q21VydFLVH3TRQUabQu_ym0Zz7PgGX0-kHA/edit?usp=sharing"",""แผน!EB50"")"),50)</f>
        <v>50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20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3260</v>
      </c>
      <c r="O298" s="155">
        <f t="shared" ref="O298:O306" ca="1" si="135">IF(L298&gt;0,N298*100/L298,0)</f>
        <v>3.9563106796116503</v>
      </c>
      <c r="P298" s="155">
        <f t="shared" ref="P298:P306" ca="1" si="136">IF(M298&gt;0,N298*100/M298,0)</f>
        <v>6.6368078175895766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3260</v>
      </c>
      <c r="O300" s="93">
        <f t="shared" ca="1" si="135"/>
        <v>3.9563106796116503</v>
      </c>
      <c r="P300" s="93">
        <f t="shared" ca="1" si="136"/>
        <v>6.6368078175895766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82400</v>
      </c>
      <c r="M301" s="496">
        <f t="shared" ca="1" si="138"/>
        <v>49120</v>
      </c>
      <c r="N301" s="496">
        <f t="shared" ca="1" si="138"/>
        <v>3260</v>
      </c>
      <c r="O301" s="496">
        <f t="shared" ca="1" si="135"/>
        <v>3.9563106796116503</v>
      </c>
      <c r="P301" s="496">
        <f t="shared" ca="1" si="136"/>
        <v>6.6368078175895766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IFERROR(__xludf.DUMMYFUNCTION("IMPORTRANGE(""https://docs.google.com/spreadsheets/d/1MeEWN-I1oV_STSDYn1IFDPWt_1FKiwhDph83XaGc0o0/edit?usp=sharing"",""งบพรบ!DX50"")"),49120)</f>
        <v>49120</v>
      </c>
      <c r="N303" s="93">
        <f ca="1">IFERROR(__xludf.DUMMYFUNCTION("IMPORTRANGE(""https://docs.google.com/spreadsheets/d/1MeEWN-I1oV_STSDYn1IFDPWt_1FKiwhDph83XaGc0o0/edit?usp=sharing"",""งบพรบ!DZ50"")"),3260)</f>
        <v>3260</v>
      </c>
      <c r="O303" s="93">
        <f t="shared" ca="1" si="135"/>
        <v>3.9563106796116503</v>
      </c>
      <c r="P303" s="93">
        <f t="shared" ca="1" si="136"/>
        <v>6.6368078175895766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1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IFERROR(__xludf.DUMMYFUNCTION("IMPORTRANGE(""https://docs.google.com/spreadsheets/d/1QqKyyYR6Q21VydFLVH3TRQUabQu_ym0Zz7PgGX0-kHA/edit?usp=sharing"",""แผน!ED50"")"),20)</f>
        <v>20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IFERROR(__xludf.DUMMYFUNCTION("IMPORTRANGE(""https://docs.google.com/spreadsheets/d/1QqKyyYR6Q21VydFLVH3TRQUabQu_ym0Zz7PgGX0-kHA/edit?usp=sharing"",""แผน!ED50"")"),20)</f>
        <v>20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IFERROR(__xludf.DUMMYFUNCTION("IMPORTRANGE(""https://docs.google.com/spreadsheets/d/1QqKyyYR6Q21VydFLVH3TRQUabQu_ym0Zz7PgGX0-kHA/edit?usp=sharing"",""แผน!ED50"")"),20)</f>
        <v>20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IFERROR(__xludf.DUMMYFUNCTION("IMPORTRANGE(""https://docs.google.com/spreadsheets/d/1QqKyyYR6Q21VydFLVH3TRQUabQu_ym0Zz7PgGX0-kHA/edit?usp=sharing"",""แผน!EE50"")"),4)</f>
        <v>4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IFERROR(__xludf.DUMMYFUNCTION("IMPORTRANGE(""https://docs.google.com/spreadsheets/d/1QqKyyYR6Q21VydFLVH3TRQUabQu_ym0Zz7PgGX0-kHA/edit?usp=sharing"",""แผน!EF50"")"),0)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IFERROR(__xludf.DUMMYFUNCTION("IMPORTRANGE(""https://docs.google.com/spreadsheets/d/1QqKyyYR6Q21VydFLVH3TRQUabQu_ym0Zz7PgGX0-kHA/edit?usp=sharing"",""แผน!EG50"")"),8800)</f>
        <v>8800</v>
      </c>
      <c r="J327" s="443">
        <f ca="1">J338+J341+J342+J343</f>
        <v>3378</v>
      </c>
      <c r="K327" s="444">
        <f ca="1">IF(I327&gt;0,J327*100/I327,0)</f>
        <v>38.386363636363633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192000</v>
      </c>
      <c r="M328" s="155">
        <f t="shared" ca="1" si="148"/>
        <v>96000</v>
      </c>
      <c r="N328" s="155">
        <f t="shared" ca="1" si="148"/>
        <v>23320</v>
      </c>
      <c r="O328" s="155">
        <f t="shared" ref="O328:O336" ca="1" si="149">IF(L328&gt;0,N328*100/L328,0)</f>
        <v>12.145833333333334</v>
      </c>
      <c r="P328" s="155">
        <f t="shared" ref="P328:P336" ca="1" si="150">IF(M328&gt;0,N328*100/M328,0)</f>
        <v>24.291666666666668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192000</v>
      </c>
      <c r="M330" s="93">
        <f t="shared" ca="1" si="151"/>
        <v>96000</v>
      </c>
      <c r="N330" s="93">
        <f t="shared" ca="1" si="151"/>
        <v>23320</v>
      </c>
      <c r="O330" s="93">
        <f t="shared" ca="1" si="149"/>
        <v>12.145833333333334</v>
      </c>
      <c r="P330" s="93">
        <f t="shared" ca="1" si="150"/>
        <v>24.291666666666668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192000</v>
      </c>
      <c r="M331" s="496">
        <f t="shared" ca="1" si="152"/>
        <v>96000</v>
      </c>
      <c r="N331" s="496">
        <f t="shared" ca="1" si="152"/>
        <v>23320</v>
      </c>
      <c r="O331" s="496">
        <f t="shared" ca="1" si="149"/>
        <v>12.145833333333334</v>
      </c>
      <c r="P331" s="496">
        <f t="shared" ca="1" si="150"/>
        <v>24.291666666666668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IFERROR(__xludf.DUMMYFUNCTION("IMPORTRANGE(""https://docs.google.com/spreadsheets/d/1MeEWN-I1oV_STSDYn1IFDPWt_1FKiwhDph83XaGc0o0/edit?usp=sharing"",""งบพรบ!ER50"")"),96000)</f>
        <v>96000</v>
      </c>
      <c r="N333" s="93">
        <f ca="1">IFERROR(__xludf.DUMMYFUNCTION("IMPORTRANGE(""https://docs.google.com/spreadsheets/d/1MeEWN-I1oV_STSDYn1IFDPWt_1FKiwhDph83XaGc0o0/edit?usp=sharing"",""งบพรบ!ET50"")"),23320)</f>
        <v>23320</v>
      </c>
      <c r="O333" s="93">
        <f t="shared" ca="1" si="149"/>
        <v>12.145833333333334</v>
      </c>
      <c r="P333" s="93">
        <f t="shared" ca="1" si="150"/>
        <v>24.291666666666668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IFERROR(__xludf.DUMMYFUNCTION("IMPORTRANGE(""https://docs.google.com/spreadsheets/d/1QqKyyYR6Q21VydFLVH3TRQUabQu_ym0Zz7PgGX0-kHA/edit?usp=sharing"",""แผน!EG50"")"),8800)</f>
        <v>8800</v>
      </c>
      <c r="J338" s="269">
        <f ca="1">IFERROR(__xludf.DUMMYFUNCTION("IMPORTRANGE(""https://docs.google.com/spreadsheets/d/1kVcqe37tkHyjCSG3S0O1AXqVkqjo8mSIZil3BcpIysc/edit?usp=sharing"",""ศูนย์!D50"")"),3274)</f>
        <v>3274</v>
      </c>
      <c r="K338" s="496">
        <f ca="1">IF(I338&gt;0,J338*100/I338,0)</f>
        <v>37.204545454545453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IFERROR(__xludf.DUMMYFUNCTION("IMPORTRANGE(""https://docs.google.com/spreadsheets/d/1QqKyyYR6Q21VydFLVH3TRQUabQu_ym0Zz7PgGX0-kHA/edit?usp=sharing"",""แผน!EH50"")"),12)</f>
        <v>12</v>
      </c>
      <c r="J340" s="269">
        <f ca="1">IFERROR(__xludf.DUMMYFUNCTION("IMPORTRANGE(""https://docs.google.com/spreadsheets/d/1kVcqe37tkHyjCSG3S0O1AXqVkqjo8mSIZil3BcpIysc/edit?usp=sharing"",""ศูนย์!E50"")"),1)</f>
        <v>1</v>
      </c>
      <c r="K340" s="496">
        <f ca="1">IF(I340&gt;0,J340*100/I340,0)</f>
        <v>8.3333333333333339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IFERROR(__xludf.DUMMYFUNCTION("IMPORTRANGE(""https://docs.google.com/spreadsheets/d/1kVcqe37tkHyjCSG3S0O1AXqVkqjo8mSIZil3BcpIysc/edit?usp=sharing"",""ศูนย์!F50"")"),104)</f>
        <v>104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IFERROR(__xludf.DUMMYFUNCTION("IMPORTRANGE(""https://docs.google.com/spreadsheets/d/1kVcqe37tkHyjCSG3S0O1AXqVkqjo8mSIZil3BcpIysc/edit?usp=sharing"",""ศูนย์!G50"")"),0)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IFERROR(__xludf.DUMMYFUNCTION("IMPORTRANGE(""https://docs.google.com/spreadsheets/d/1kVcqe37tkHyjCSG3S0O1AXqVkqjo8mSIZil3BcpIysc/edit?usp=sharing"",""ศูนย์!H50"")"),0)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2655720</v>
      </c>
      <c r="M345" s="155">
        <f t="shared" ca="1" si="154"/>
        <v>1525692</v>
      </c>
      <c r="N345" s="155">
        <f t="shared" ca="1" si="154"/>
        <v>835091.18</v>
      </c>
      <c r="O345" s="155">
        <f t="shared" ref="O345:O353" ca="1" si="155">IF(L345&gt;0,N345*100/L345,0)</f>
        <v>31.445000979018872</v>
      </c>
      <c r="P345" s="155">
        <f t="shared" ref="P345:P353" ca="1" si="156">IF(M345&gt;0,N345*100/M345,0)</f>
        <v>54.735240140211786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2655720</v>
      </c>
      <c r="M347" s="93">
        <f t="shared" ca="1" si="157"/>
        <v>1525692</v>
      </c>
      <c r="N347" s="93">
        <f t="shared" ca="1" si="157"/>
        <v>835091.18</v>
      </c>
      <c r="O347" s="93">
        <f t="shared" ca="1" si="155"/>
        <v>31.445000979018872</v>
      </c>
      <c r="P347" s="93">
        <f t="shared" ca="1" si="156"/>
        <v>54.735240140211786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2482320</v>
      </c>
      <c r="M348" s="496">
        <f t="shared" ca="1" si="158"/>
        <v>1352292</v>
      </c>
      <c r="N348" s="496">
        <f t="shared" ca="1" si="158"/>
        <v>661691.18000000005</v>
      </c>
      <c r="O348" s="496">
        <f t="shared" ca="1" si="155"/>
        <v>26.656159560411233</v>
      </c>
      <c r="P348" s="496">
        <f t="shared" ca="1" si="156"/>
        <v>48.931087368704397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IFERROR(__xludf.DUMMYFUNCTION("IMPORTRANGE(""https://docs.google.com/spreadsheets/d/1MeEWN-I1oV_STSDYn1IFDPWt_1FKiwhDph83XaGc0o0/edit?usp=sharing"",""งบพรบ!FB50"")"),1352292)</f>
        <v>1352292</v>
      </c>
      <c r="N350" s="93">
        <f ca="1">IFERROR(__xludf.DUMMYFUNCTION("IMPORTRANGE(""https://docs.google.com/spreadsheets/d/1MeEWN-I1oV_STSDYn1IFDPWt_1FKiwhDph83XaGc0o0/edit?usp=sharing"",""งบพรบ!FD50"")"),661691.18)</f>
        <v>661691.18000000005</v>
      </c>
      <c r="O350" s="93">
        <f t="shared" ca="1" si="155"/>
        <v>26.656159560411233</v>
      </c>
      <c r="P350" s="93">
        <f t="shared" ca="1" si="156"/>
        <v>48.931087368704397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173400</v>
      </c>
      <c r="M351" s="496">
        <f t="shared" ca="1" si="159"/>
        <v>173400</v>
      </c>
      <c r="N351" s="496">
        <f t="shared" ca="1" si="159"/>
        <v>173400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IFERROR(__xludf.DUMMYFUNCTION("IMPORTRANGE(""https://docs.google.com/spreadsheets/d/1QqKyyYR6Q21VydFLVH3TRQUabQu_ym0Zz7PgGX0-kHA/edit?usp=sharing"",""แผน!EP50"")"),2150)</f>
        <v>2150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IFERROR(__xludf.DUMMYFUNCTION("IMPORTRANGE(""https://docs.google.com/spreadsheets/d/1XWAQStnk-4SwqDmLtmXYiTMKHgktTP8We1SCoS47DrQ/edit?usp=sharing"",""จัดที่ดิน!W50"")"),185)</f>
        <v>185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IFERROR(__xludf.DUMMYFUNCTION("IMPORTRANGE(""https://docs.google.com/spreadsheets/d/1QqKyyYR6Q21VydFLVH3TRQUabQu_ym0Zz7PgGX0-kHA/edit?usp=sharing"",""แผน!EO50"")"),21000)</f>
        <v>21000</v>
      </c>
      <c r="J359" s="269">
        <f ca="1">IFERROR(__xludf.DUMMYFUNCTION("IMPORTRANGE(""https://docs.google.com/spreadsheets/d/1XWAQStnk-4SwqDmLtmXYiTMKHgktTP8We1SCoS47DrQ/edit?usp=sharing"",""จัดที่ดิน!X50"")"),1690.88)</f>
        <v>1690.88</v>
      </c>
      <c r="K359" s="496">
        <f t="shared" ca="1" si="160"/>
        <v>8.0518095238095242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IFERROR(__xludf.DUMMYFUNCTION("IMPORTRANGE(""https://docs.google.com/spreadsheets/d/1QqKyyYR6Q21VydFLVH3TRQUabQu_ym0Zz7PgGX0-kHA/edit?usp=sharing"",""แผน!EP50"")"),2150)</f>
        <v>2150</v>
      </c>
      <c r="J360" s="269">
        <f ca="1">IFERROR(__xludf.DUMMYFUNCTION("IMPORTRANGE(""https://docs.google.com/spreadsheets/d/1XWAQStnk-4SwqDmLtmXYiTMKHgktTP8We1SCoS47DrQ/edit?usp=sharing"",""จัดที่ดิน!Y50"")"),169)</f>
        <v>169</v>
      </c>
      <c r="K360" s="496">
        <f t="shared" ca="1" si="160"/>
        <v>7.8604651162790695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IFERROR(__xludf.DUMMYFUNCTION("IMPORTRANGE(""https://docs.google.com/spreadsheets/d/1XWAQStnk-4SwqDmLtmXYiTMKHgktTP8We1SCoS47DrQ/edit?usp=sharing"",""จัดที่ดิน!Z50"")"),2186.1)</f>
        <v>2186.1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IFERROR(__xludf.DUMMYFUNCTION("IMPORTRANGE(""https://docs.google.com/spreadsheets/d/1QqKyyYR6Q21VydFLVH3TRQUabQu_ym0Zz7PgGX0-kHA/edit?usp=sharing"",""แผน!EP50"")"),2150)</f>
        <v>2150</v>
      </c>
      <c r="J362" s="269">
        <f ca="1">IFERROR(__xludf.DUMMYFUNCTION("IMPORTRANGE(""https://docs.google.com/spreadsheets/d/1XWAQStnk-4SwqDmLtmXYiTMKHgktTP8We1SCoS47DrQ/edit?usp=sharing"",""จัดที่ดิน!AA50"")"),0)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IFERROR(__xludf.DUMMYFUNCTION("IMPORTRANGE(""https://docs.google.com/spreadsheets/d/1XWAQStnk-4SwqDmLtmXYiTMKHgktTP8We1SCoS47DrQ/edit?usp=sharing"",""จัดที่ดิน!AB50"")"),0)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2150</v>
      </c>
      <c r="J364" s="477">
        <f t="shared" ca="1" si="161"/>
        <v>113</v>
      </c>
      <c r="K364" s="478">
        <f t="shared" ca="1" si="160"/>
        <v>5.2558139534883717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IFERROR(__xludf.DUMMYFUNCTION("IMPORTRANGE(""https://docs.google.com/spreadsheets/d/1QqKyyYR6Q21VydFLVH3TRQUabQu_ym0Zz7PgGX0-kHA/edit?usp=sharing"",""แผน!EJ50"")"),400)</f>
        <v>400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IFERROR(__xludf.DUMMYFUNCTION("IMPORTRANGE(""https://docs.google.com/spreadsheets/d/1XWAQStnk-4SwqDmLtmXYiTMKHgktTP8We1SCoS47DrQ/edit?usp=sharing"",""จัดที่ดิน!E50"")"),62)</f>
        <v>62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IFERROR(__xludf.DUMMYFUNCTION("IMPORTRANGE(""https://docs.google.com/spreadsheets/d/1QqKyyYR6Q21VydFLVH3TRQUabQu_ym0Zz7PgGX0-kHA/edit?usp=sharing"",""แผน!EI50"")"),6000)</f>
        <v>6000</v>
      </c>
      <c r="J369" s="269">
        <f ca="1">IFERROR(__xludf.DUMMYFUNCTION("IMPORTRANGE(""https://docs.google.com/spreadsheets/d/1XWAQStnk-4SwqDmLtmXYiTMKHgktTP8We1SCoS47DrQ/edit?usp=sharing"",""จัดที่ดิน!F50"")"),656.37)</f>
        <v>656.37</v>
      </c>
      <c r="K369" s="496">
        <f t="shared" ca="1" si="162"/>
        <v>10.939500000000001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IFERROR(__xludf.DUMMYFUNCTION("IMPORTRANGE(""https://docs.google.com/spreadsheets/d/1QqKyyYR6Q21VydFLVH3TRQUabQu_ym0Zz7PgGX0-kHA/edit?usp=sharing"",""แผน!EJ50"")"),400)</f>
        <v>400</v>
      </c>
      <c r="J370" s="269">
        <f ca="1">IFERROR(__xludf.DUMMYFUNCTION("IMPORTRANGE(""https://docs.google.com/spreadsheets/d/1XWAQStnk-4SwqDmLtmXYiTMKHgktTP8We1SCoS47DrQ/edit?usp=sharing"",""จัดที่ดิน!G50"")"),0)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IFERROR(__xludf.DUMMYFUNCTION("IMPORTRANGE(""https://docs.google.com/spreadsheets/d/1XWAQStnk-4SwqDmLtmXYiTMKHgktTP8We1SCoS47DrQ/edit?usp=sharing"",""จัดที่ดิน!H50"")"),0)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IFERROR(__xludf.DUMMYFUNCTION("IMPORTRANGE(""https://docs.google.com/spreadsheets/d/1QqKyyYR6Q21VydFLVH3TRQUabQu_ym0Zz7PgGX0-kHA/edit?usp=sharing"",""แผน!EJ50"")"),400)</f>
        <v>400</v>
      </c>
      <c r="J372" s="269">
        <f ca="1">IFERROR(__xludf.DUMMYFUNCTION("IMPORTRANGE(""https://docs.google.com/spreadsheets/d/1XWAQStnk-4SwqDmLtmXYiTMKHgktTP8We1SCoS47DrQ/edit?usp=sharing"",""จัดที่ดิน!I50"")"),0)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IFERROR(__xludf.DUMMYFUNCTION("IMPORTRANGE(""https://docs.google.com/spreadsheets/d/1XWAQStnk-4SwqDmLtmXYiTMKHgktTP8We1SCoS47DrQ/edit?usp=sharing"",""จัดที่ดิน!J50"")"),0)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IFERROR(__xludf.DUMMYFUNCTION("IMPORTRANGE(""https://docs.google.com/spreadsheets/d/1QqKyyYR6Q21VydFLVH3TRQUabQu_ym0Zz7PgGX0-kHA/edit?usp=sharing"",""แผน!EU50"")"),1750)</f>
        <v>1750</v>
      </c>
      <c r="J374" s="489">
        <f ca="1">J381</f>
        <v>113</v>
      </c>
      <c r="K374" s="490">
        <f t="shared" ca="1" si="162"/>
        <v>6.4571428571428573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IFERROR(__xludf.DUMMYFUNCTION("IMPORTRANGE(""https://docs.google.com/spreadsheets/d/1XWAQStnk-4SwqDmLtmXYiTMKHgktTP8We1SCoS47DrQ/edit?usp=sharing"",""จัดที่ดิน!AH50"")"),123)</f>
        <v>123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IFERROR(__xludf.DUMMYFUNCTION("IMPORTRANGE(""https://docs.google.com/spreadsheets/d/1QqKyyYR6Q21VydFLVH3TRQUabQu_ym0Zz7PgGX0-kHA/edit?usp=sharing"",""แผน!ET50"")"),15000)</f>
        <v>15000</v>
      </c>
      <c r="J378" s="269">
        <f ca="1">IFERROR(__xludf.DUMMYFUNCTION("IMPORTRANGE(""https://docs.google.com/spreadsheets/d/1XWAQStnk-4SwqDmLtmXYiTMKHgktTP8We1SCoS47DrQ/edit?usp=sharing"",""จัดที่ดิน!AI50"")"),1034.51)</f>
        <v>1034.51</v>
      </c>
      <c r="K378" s="496">
        <f t="shared" ca="1" si="163"/>
        <v>6.8967333333333336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IFERROR(__xludf.DUMMYFUNCTION("IMPORTRANGE(""https://docs.google.com/spreadsheets/d/1QqKyyYR6Q21VydFLVH3TRQUabQu_ym0Zz7PgGX0-kHA/edit?usp=sharing"",""แผน!EU50"")"),1750)</f>
        <v>1750</v>
      </c>
      <c r="J379" s="269">
        <f ca="1">IFERROR(__xludf.DUMMYFUNCTION("IMPORTRANGE(""https://docs.google.com/spreadsheets/d/1XWAQStnk-4SwqDmLtmXYiTMKHgktTP8We1SCoS47DrQ/edit?usp=sharing"",""จัดที่ดิน!AJ50"")"),281)</f>
        <v>281</v>
      </c>
      <c r="K379" s="496">
        <f t="shared" ca="1" si="163"/>
        <v>16.057142857142857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IFERROR(__xludf.DUMMYFUNCTION("IMPORTRANGE(""https://docs.google.com/spreadsheets/d/1XWAQStnk-4SwqDmLtmXYiTMKHgktTP8We1SCoS47DrQ/edit?usp=sharing"",""จัดที่ดิน!AK50"")"),3803.71)</f>
        <v>3803.71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IFERROR(__xludf.DUMMYFUNCTION("IMPORTRANGE(""https://docs.google.com/spreadsheets/d/1QqKyyYR6Q21VydFLVH3TRQUabQu_ym0Zz7PgGX0-kHA/edit?usp=sharing"",""แผน!EU50"")"),1750)</f>
        <v>1750</v>
      </c>
      <c r="J381" s="269">
        <f ca="1">IFERROR(__xludf.DUMMYFUNCTION("IMPORTRANGE(""https://docs.google.com/spreadsheets/d/1XWAQStnk-4SwqDmLtmXYiTMKHgktTP8We1SCoS47DrQ/edit?usp=sharing"",""จัดที่ดิน!AL50"")"),113)</f>
        <v>113</v>
      </c>
      <c r="K381" s="496">
        <f t="shared" ca="1" si="163"/>
        <v>6.4571428571428573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IFERROR(__xludf.DUMMYFUNCTION("IMPORTRANGE(""https://docs.google.com/spreadsheets/d/1XWAQStnk-4SwqDmLtmXYiTMKHgktTP8We1SCoS47DrQ/edit?usp=sharing"",""จัดที่ดิน!AM50"")"),1612.25)</f>
        <v>1612.25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IFERROR(__xludf.DUMMYFUNCTION("IMPORTRANGE(""https://docs.google.com/spreadsheets/d/1QqKyyYR6Q21VydFLVH3TRQUabQu_ym0Zz7PgGX0-kHA/edit?usp=sharing"",""แผน!EW50"")"),100)</f>
        <v>100</v>
      </c>
      <c r="J385" s="499">
        <f ca="1">IFERROR(__xludf.DUMMYFUNCTION("IMPORTRANGE(""https://docs.google.com/spreadsheets/d/1XWAQStnk-4SwqDmLtmXYiTMKHgktTP8We1SCoS47DrQ/edit?usp=sharing"",""จัดที่ดิน!AP50"")"),0)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3923095</v>
      </c>
      <c r="M414" s="547">
        <f t="shared" si="180"/>
        <v>0</v>
      </c>
      <c r="N414" s="547">
        <f t="shared" si="180"/>
        <v>211720</v>
      </c>
      <c r="O414" s="547">
        <f ca="1">IF(L414&gt;0,N414*100/L414,0)</f>
        <v>5.3967594463045119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15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67560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67560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67560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15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IFERROR(__xludf.DUMMYFUNCTION("IMPORTRANGE(""https://docs.google.com/spreadsheets/d/1QqKyyYR6Q21VydFLVH3TRQUabQu_ym0Zz7PgGX0-kHA/edit?usp=sharing"",""แผน!FC50"")"),15)</f>
        <v>15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IFERROR(__xludf.DUMMYFUNCTION("IMPORTRANGE(""https://docs.google.com/spreadsheets/d/1QqKyyYR6Q21VydFLVH3TRQUabQu_ym0Zz7PgGX0-kHA/edit?usp=sharing"",""แผน!FD50"")"),0)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IFERROR(__xludf.DUMMYFUNCTION("IMPORTRANGE(""https://docs.google.com/spreadsheets/d/1QqKyyYR6Q21VydFLVH3TRQUabQu_ym0Zz7PgGX0-kHA/edit?usp=sharing"",""แผน!FE50"")"),0)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IFERROR(__xludf.DUMMYFUNCTION("IMPORTRANGE(""https://docs.google.com/spreadsheets/d/1QqKyyYR6Q21VydFLVH3TRQUabQu_ym0Zz7PgGX0-kHA/edit?usp=sharing"",""แผน!FF50"")"),15)</f>
        <v>15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IFERROR(__xludf.DUMMYFUNCTION("IMPORTRANGE(""https://docs.google.com/spreadsheets/d/1QqKyyYR6Q21VydFLVH3TRQUabQu_ym0Zz7PgGX0-kHA/edit?usp=sharing"",""แผน!FG50"")"),1)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IFERROR(__xludf.DUMMYFUNCTION("IMPORTRANGE(""https://docs.google.com/spreadsheets/d/1QqKyyYR6Q21VydFLVH3TRQUabQu_ym0Zz7PgGX0-kHA/edit?usp=sharing"",""แผน!FH50"")"),0)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140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660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1043880</v>
      </c>
      <c r="M444" s="195">
        <f t="shared" si="196"/>
        <v>0</v>
      </c>
      <c r="N444" s="195">
        <f t="shared" si="196"/>
        <v>21040</v>
      </c>
      <c r="O444" s="195">
        <f t="shared" ref="O444:O449" ca="1" si="197">IF(L444&gt;0,N444*100/L444,0)</f>
        <v>2.0155573437559875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1043880</v>
      </c>
      <c r="M446" s="93">
        <f t="shared" si="199"/>
        <v>0</v>
      </c>
      <c r="N446" s="93">
        <f t="shared" si="199"/>
        <v>21040</v>
      </c>
      <c r="O446" s="93">
        <f t="shared" ca="1" si="197"/>
        <v>2.0155573437559875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1043880</v>
      </c>
      <c r="M447" s="496">
        <f t="shared" si="200"/>
        <v>0</v>
      </c>
      <c r="N447" s="496">
        <f t="shared" si="200"/>
        <v>21040</v>
      </c>
      <c r="O447" s="496">
        <f t="shared" ca="1" si="197"/>
        <v>2.0155573437559875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v>0</v>
      </c>
      <c r="N449" s="93">
        <f>N450+N451+N452+N453</f>
        <v>21040</v>
      </c>
      <c r="O449" s="93">
        <f t="shared" ca="1" si="197"/>
        <v>2.0155573437559875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13000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8040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IFERROR(__xludf.DUMMYFUNCTION("IMPORTRANGE(""https://docs.google.com/spreadsheets/d/1QqKyyYR6Q21VydFLVH3TRQUabQu_ym0Zz7PgGX0-kHA/edit?usp=sharing"",""แผน!FN50"")"),140)</f>
        <v>140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IFERROR(__xludf.DUMMYFUNCTION("IMPORTRANGE(""https://docs.google.com/spreadsheets/d/1QqKyyYR6Q21VydFLVH3TRQUabQu_ym0Zz7PgGX0-kHA/edit?usp=sharing"",""แผน!FO50"")"),660)</f>
        <v>660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IFERROR(__xludf.DUMMYFUNCTION("IMPORTRANGE(""https://docs.google.com/spreadsheets/d/1QqKyyYR6Q21VydFLVH3TRQUabQu_ym0Zz7PgGX0-kHA/edit?usp=sharing"",""แผน!FO50"")"),660)</f>
        <v>660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IFERROR(__xludf.DUMMYFUNCTION("IMPORTRANGE(""https://docs.google.com/spreadsheets/d/1QqKyyYR6Q21VydFLVH3TRQUabQu_ym0Zz7PgGX0-kHA/edit?usp=sharing"",""แผน!FN50"")"),140)</f>
        <v>140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IFERROR(__xludf.DUMMYFUNCTION("IMPORTRANGE(""https://docs.google.com/spreadsheets/d/1QqKyyYR6Q21VydFLVH3TRQUabQu_ym0Zz7PgGX0-kHA/edit?usp=sharing"",""แผน!FX50"")"),131)</f>
        <v>131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IFERROR(__xludf.DUMMYFUNCTION("IMPORTRANGE(""https://docs.google.com/spreadsheets/d/1QqKyyYR6Q21VydFLVH3TRQUabQu_ym0Zz7PgGX0-kHA/edit?usp=sharing"",""แผน!FW50"")"),1300)</f>
        <v>1300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34390</v>
      </c>
      <c r="O467" s="195">
        <f t="shared" ref="O467:O472" ca="1" si="206">IF(L467&gt;0,N467*100/L467,0)</f>
        <v>2.9607041637538871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34390</v>
      </c>
      <c r="O469" s="93">
        <f t="shared" ca="1" si="206"/>
        <v>2.9607041637538871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1161548</v>
      </c>
      <c r="M470" s="496">
        <f t="shared" si="209"/>
        <v>0</v>
      </c>
      <c r="N470" s="496">
        <f t="shared" si="209"/>
        <v>34390</v>
      </c>
      <c r="O470" s="496">
        <f t="shared" ca="1" si="206"/>
        <v>2.9607041637538871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IFERROR(__xludf.DUMMYFUNCTION("IMPORTRANGE(""https://docs.google.com/spreadsheets/d/1QqKyyYR6Q21VydFLVH3TRQUabQu_ym0Zz7PgGX0-kHA/edit?usp=sharing"",""แผน!FS50"")"),1161548)</f>
        <v>1161548</v>
      </c>
      <c r="M472" s="93">
        <v>0</v>
      </c>
      <c r="N472" s="93">
        <f>N473+N474+N475+N476</f>
        <v>34390</v>
      </c>
      <c r="O472" s="93">
        <f t="shared" ca="1" si="206"/>
        <v>2.9607041637538871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13000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21390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IFERROR(__xludf.DUMMYFUNCTION("IMPORTRANGE(""https://docs.google.com/spreadsheets/d/1QqKyyYR6Q21VydFLVH3TRQUabQu_ym0Zz7PgGX0-kHA/edit?usp=sharing"",""แผน!FY50"")"),1170)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IFERROR(__xludf.DUMMYFUNCTION("IMPORTRANGE(""https://docs.google.com/spreadsheets/d/1QqKyyYR6Q21VydFLVH3TRQUabQu_ym0Zz7PgGX0-kHA/edit?usp=sharing"",""แผน!FZ50"")"),117)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IFERROR(__xludf.DUMMYFUNCTION("IMPORTRANGE(""https://docs.google.com/spreadsheets/d/1QqKyyYR6Q21VydFLVH3TRQUabQu_ym0Zz7PgGX0-kHA/edit?usp=sharing"",""แผน!GA50"")"),130)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IFERROR(__xludf.DUMMYFUNCTION("IMPORTRANGE(""https://docs.google.com/spreadsheets/d/1QqKyyYR6Q21VydFLVH3TRQUabQu_ym0Zz7PgGX0-kHA/edit?usp=sharing"",""แผน!GB50"")"),13)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IFERROR(__xludf.DUMMYFUNCTION("IMPORTRANGE(""https://docs.google.com/spreadsheets/d/1QqKyyYR6Q21VydFLVH3TRQUabQu_ym0Zz7PgGX0-kHA/edit?usp=sharing"",""แผน!GC50"")"),1)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IFERROR(__xludf.DUMMYFUNCTION("IMPORTRANGE(""https://docs.google.com/spreadsheets/d/1QqKyyYR6Q21VydFLVH3TRQUabQu_ym0Zz7PgGX0-kHA/edit?usp=sharing"",""แผน!FY50"")"),1170)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IFERROR(__xludf.DUMMYFUNCTION("IMPORTRANGE(""https://docs.google.com/spreadsheets/d/1QqKyyYR6Q21VydFLVH3TRQUabQu_ym0Zz7PgGX0-kHA/edit?usp=sharing"",""แผน!GA50"")"),130)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IFERROR(__xludf.DUMMYFUNCTION("IMPORTRANGE(""https://docs.google.com/spreadsheets/d/1QqKyyYR6Q21VydFLVH3TRQUabQu_ym0Zz7PgGX0-kHA/edit?usp=sharing"",""แผน!GU50"")"),0)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IFERROR(__xludf.DUMMYFUNCTION("IMPORTRANGE(""https://docs.google.com/spreadsheets/d/1QqKyyYR6Q21VydFLVH3TRQUabQu_ym0Zz7PgGX0-kHA/edit?usp=sharing"",""แผน!GV50"")"),0)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IFERROR(__xludf.DUMMYFUNCTION("IMPORTRANGE(""https://docs.google.com/spreadsheets/d/1QqKyyYR6Q21VydFLVH3TRQUabQu_ym0Zz7PgGX0-kHA/edit?usp=sharing"",""แผน!GW50"")"),0)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IFERROR(__xludf.DUMMYFUNCTION("IMPORTRANGE(""https://docs.google.com/spreadsheets/d/1QqKyyYR6Q21VydFLVH3TRQUabQu_ym0Zz7PgGX0-kHA/edit?usp=sharing"",""แผน!GX50"")"),0)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IFERROR(__xludf.DUMMYFUNCTION("IMPORTRANGE(""https://docs.google.com/spreadsheets/d/1QqKyyYR6Q21VydFLVH3TRQUabQu_ym0Zz7PgGX0-kHA/edit?usp=sharing"",""แผน!GY50"")"),0)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IFERROR(__xludf.DUMMYFUNCTION("IMPORTRANGE(""https://docs.google.com/spreadsheets/d/1QqKyyYR6Q21VydFLVH3TRQUabQu_ym0Zz7PgGX0-kHA/edit?usp=sharing"",""แผน!GZ50"")"),0)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80104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470517</v>
      </c>
      <c r="M544" s="155">
        <f t="shared" si="235"/>
        <v>0</v>
      </c>
      <c r="N544" s="155">
        <f t="shared" si="235"/>
        <v>15250</v>
      </c>
      <c r="O544" s="155">
        <f t="shared" ref="O544:O549" ca="1" si="236">IF(L544&gt;0,N544*100/L544,0)</f>
        <v>3.2411156238775645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470517</v>
      </c>
      <c r="M546" s="93">
        <f t="shared" si="239"/>
        <v>0</v>
      </c>
      <c r="N546" s="93">
        <f t="shared" si="239"/>
        <v>15250</v>
      </c>
      <c r="O546" s="93">
        <f t="shared" ca="1" si="236"/>
        <v>3.2411156238775645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470517</v>
      </c>
      <c r="M547" s="496">
        <f t="shared" si="240"/>
        <v>0</v>
      </c>
      <c r="N547" s="496">
        <f t="shared" si="240"/>
        <v>15250</v>
      </c>
      <c r="O547" s="496">
        <f t="shared" ca="1" si="236"/>
        <v>3.2411156238775645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IFERROR(__xludf.DUMMYFUNCTION("IMPORTRANGE(""https://docs.google.com/spreadsheets/d/1QqKyyYR6Q21VydFLVH3TRQUabQu_ym0Zz7PgGX0-kHA/edit?usp=sharing"",""แผน!HB50"")"),470517)</f>
        <v>470517</v>
      </c>
      <c r="M549" s="93">
        <v>0</v>
      </c>
      <c r="N549" s="93">
        <f>N550+N551+N552+N553+N554</f>
        <v>15250</v>
      </c>
      <c r="O549" s="93">
        <f t="shared" ca="1" si="236"/>
        <v>3.2411156238775645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13000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2250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80104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IFERROR(__xludf.DUMMYFUNCTION("IMPORTRANGE(""https://docs.google.com/spreadsheets/d/1QqKyyYR6Q21VydFLVH3TRQUabQu_ym0Zz7PgGX0-kHA/edit?usp=sharing"",""แผน!HH50"")"),80104)</f>
        <v>80104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IFERROR(__xludf.DUMMYFUNCTION("IMPORTRANGE(""https://docs.google.com/spreadsheets/d/1QqKyyYR6Q21VydFLVH3TRQUabQu_ym0Zz7PgGX0-kHA/edit?usp=sharing"",""แผน!HH50"")"),80104)</f>
        <v>80104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IFERROR(__xludf.DUMMYFUNCTION("IMPORTRANGE(""https://docs.google.com/spreadsheets/d/1QqKyyYR6Q21VydFLVH3TRQUabQu_ym0Zz7PgGX0-kHA/edit?usp=sharing"",""แผน!HH50"")"),80104)</f>
        <v>80104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 hidden="1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0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 hidden="1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IFERROR(__xludf.DUMMYFUNCTION("IMPORTRANGE(""https://docs.google.com/spreadsheets/d/1QqKyyYR6Q21VydFLVH3TRQUabQu_ym0Zz7PgGX0-kHA/edit?usp=sharing"",""แผน!HJ50"")"),0)</f>
        <v>0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 hidden="1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IFERROR(__xludf.DUMMYFUNCTION("IMPORTRANGE(""https://docs.google.com/spreadsheets/d/1QqKyyYR6Q21VydFLVH3TRQUabQu_ym0Zz7PgGX0-kHA/edit?usp=sharing"",""แผน!HI50"")"),0)</f>
        <v>0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 hidden="1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 hidden="1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 hidden="1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 hidden="1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 hidden="1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 hidden="1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 hidden="1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 hidden="1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 hidden="1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 hidden="1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 hidden="1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 hidden="1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 hidden="1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 hidden="1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 hidden="1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 hidden="1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IFERROR(__xludf.DUMMYFUNCTION("IMPORTRANGE(""https://docs.google.com/spreadsheets/d/1QqKyyYR6Q21VydFLVH3TRQUabQu_ym0Zz7PgGX0-kHA/edit?usp=sharing"",""แผน!HL50"")"),0)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IFERROR(__xludf.DUMMYFUNCTION("IMPORTRANGE(""https://docs.google.com/spreadsheets/d/1QqKyyYR6Q21VydFLVH3TRQUabQu_ym0Zz7PgGX0-kHA/edit?usp=sharing"",""แผน!HK50"")"),0)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812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1025710</v>
      </c>
      <c r="M629" s="195">
        <f t="shared" si="262"/>
        <v>0</v>
      </c>
      <c r="N629" s="195">
        <f t="shared" si="262"/>
        <v>135720</v>
      </c>
      <c r="O629" s="195">
        <f t="shared" ref="O629:O634" ca="1" si="263">IF(L629&gt;0,N629*100/L629,0)</f>
        <v>13.231810160766688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1025710</v>
      </c>
      <c r="M631" s="93">
        <f t="shared" si="265"/>
        <v>0</v>
      </c>
      <c r="N631" s="93">
        <f t="shared" si="265"/>
        <v>135720</v>
      </c>
      <c r="O631" s="93">
        <f t="shared" ca="1" si="263"/>
        <v>13.231810160766688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1025710</v>
      </c>
      <c r="M632" s="496">
        <f t="shared" si="266"/>
        <v>0</v>
      </c>
      <c r="N632" s="496">
        <f t="shared" si="266"/>
        <v>135720</v>
      </c>
      <c r="O632" s="496">
        <f t="shared" ca="1" si="263"/>
        <v>13.231810160766688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v>0</v>
      </c>
      <c r="N634" s="93">
        <f>N635+N636+N637+N638</f>
        <v>135720</v>
      </c>
      <c r="O634" s="93">
        <f t="shared" ca="1" si="263"/>
        <v>13.231810160766688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26000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109720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IFERROR(__xludf.DUMMYFUNCTION("IMPORTRANGE(""https://docs.google.com/spreadsheets/d/1QqKyyYR6Q21VydFLVH3TRQUabQu_ym0Zz7PgGX0-kHA/edit?usp=sharing"",""แผน!HR50"")"),4)</f>
        <v>4</v>
      </c>
      <c r="J643" s="214">
        <v>2</v>
      </c>
      <c r="K643" s="163">
        <f t="shared" ref="K643:K652" ca="1" si="270">IF(I643&gt;0,J643*100/I643,0)</f>
        <v>50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IFERROR(__xludf.DUMMYFUNCTION("IMPORTRANGE(""https://docs.google.com/spreadsheets/d/1QqKyyYR6Q21VydFLVH3TRQUabQu_ym0Zz7PgGX0-kHA/edit?usp=sharing"",""แผน!HR50"")"),4)</f>
        <v>4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IFERROR(__xludf.DUMMYFUNCTION("IMPORTRANGE(""https://docs.google.com/spreadsheets/d/1XWAQStnk-4SwqDmLtmXYiTMKHgktTP8We1SCoS47DrQ/edit?usp=sharing"",""จัดที่ดิน!AS50"")"),0)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IFERROR(__xludf.DUMMYFUNCTION("IMPORTRANGE(""https://docs.google.com/spreadsheets/d/1XWAQStnk-4SwqDmLtmXYiTMKHgktTP8We1SCoS47DrQ/edit?usp=sharing"",""จัดที่ดิน!AT50"")"),0)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IFERROR(__xludf.DUMMYFUNCTION("IMPORTRANGE(""https://docs.google.com/spreadsheets/d/1QqKyyYR6Q21VydFLVH3TRQUabQu_ym0Zz7PgGX0-kHA/edit?usp=sharing"",""แผน!HS50"")"),812)</f>
        <v>812</v>
      </c>
      <c r="J647" s="269">
        <f ca="1">IFERROR(__xludf.DUMMYFUNCTION("IMPORTRANGE(""https://docs.google.com/spreadsheets/d/1XWAQStnk-4SwqDmLtmXYiTMKHgktTP8We1SCoS47DrQ/edit?usp=sharing"",""จัดที่ดิน!AU50"")"),240)</f>
        <v>240</v>
      </c>
      <c r="K647" s="163">
        <f t="shared" ca="1" si="270"/>
        <v>29.55665024630542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IFERROR(__xludf.DUMMYFUNCTION("IMPORTRANGE(""https://docs.google.com/spreadsheets/d/1XWAQStnk-4SwqDmLtmXYiTMKHgktTP8We1SCoS47DrQ/edit?usp=sharing"",""จัดที่ดิน!AV50"")"),113.58)</f>
        <v>113.58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IFERROR(__xludf.DUMMYFUNCTION("IMPORTRANGE(""https://docs.google.com/spreadsheets/d/1QqKyyYR6Q21VydFLVH3TRQUabQu_ym0Zz7PgGX0-kHA/edit?usp=sharing"",""แผน!HS50"")"),812)</f>
        <v>812</v>
      </c>
      <c r="J649" s="269">
        <f ca="1">IFERROR(__xludf.DUMMYFUNCTION("IMPORTRANGE(""https://docs.google.com/spreadsheets/d/1XWAQStnk-4SwqDmLtmXYiTMKHgktTP8We1SCoS47DrQ/edit?usp=sharing"",""จัดที่ดิน!AW50"")"),0)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IFERROR(__xludf.DUMMYFUNCTION("IMPORTRANGE(""https://docs.google.com/spreadsheets/d/1XWAQStnk-4SwqDmLtmXYiTMKHgktTP8We1SCoS47DrQ/edit?usp=sharing"",""จัดที่ดิน!AX50"")"),0)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IFERROR(__xludf.DUMMYFUNCTION("IMPORTRANGE(""https://docs.google.com/spreadsheets/d/1QqKyyYR6Q21VydFLVH3TRQUabQu_ym0Zz7PgGX0-kHA/edit?usp=sharing"",""แผน!HS50"")"),812)</f>
        <v>812</v>
      </c>
      <c r="J651" s="269">
        <f ca="1">IFERROR(__xludf.DUMMYFUNCTION("IMPORTRANGE(""https://docs.google.com/spreadsheets/d/1XWAQStnk-4SwqDmLtmXYiTMKHgktTP8We1SCoS47DrQ/edit?usp=sharing"",""จัดที่ดิน!AY50"")"),0)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IFERROR(__xludf.DUMMYFUNCTION("IMPORTRANGE(""https://docs.google.com/spreadsheets/d/1XWAQStnk-4SwqDmLtmXYiTMKHgktTP8We1SCoS47DrQ/edit?usp=sharing"",""จัดที่ดิน!AZ50"")"),0)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IFERROR(__xludf.DUMMYFUNCTION("IMPORTRANGE(""https://docs.google.com/spreadsheets/d/1QqKyyYR6Q21VydFLVH3TRQUabQu_ym0Zz7PgGX0-kHA/edit?usp=sharing"",""แผน!IA50"")"),0)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IFERROR(__xludf.DUMMYFUNCTION("IMPORTRANGE(""https://docs.google.com/spreadsheets/d/1QqKyyYR6Q21VydFLVH3TRQUabQu_ym0Zz7PgGX0-kHA/edit?usp=sharing"",""แผน!HZ50"")"),0)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IFERROR(__xludf.DUMMYFUNCTION("IMPORTRANGE(""https://docs.google.com/spreadsheets/d/1QqKyyYR6Q21VydFLVH3TRQUabQu_ym0Zz7PgGX0-kHA/edit?usp=sharing"",""แผน!HZ50"")"),0)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IFERROR(__xludf.DUMMYFUNCTION("IMPORTRANGE(""https://docs.google.com/spreadsheets/d/1QqKyyYR6Q21VydFLVH3TRQUabQu_ym0Zz7PgGX0-kHA/edit?usp=sharing"",""แผน!IB50"")"),0)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153880</v>
      </c>
      <c r="M685" s="195">
        <f t="shared" si="281"/>
        <v>0</v>
      </c>
      <c r="N685" s="195">
        <f t="shared" si="281"/>
        <v>5320</v>
      </c>
      <c r="O685" s="195">
        <f t="shared" ref="O685:O688" ca="1" si="282">IF(L685&gt;0,N685*100/L685,0)</f>
        <v>3.4572394073303871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153880</v>
      </c>
      <c r="M687" s="93">
        <f t="shared" si="284"/>
        <v>0</v>
      </c>
      <c r="N687" s="93">
        <f t="shared" si="284"/>
        <v>5320</v>
      </c>
      <c r="O687" s="93">
        <f t="shared" ca="1" si="282"/>
        <v>3.4572394073303871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153880</v>
      </c>
      <c r="M688" s="496">
        <f t="shared" si="285"/>
        <v>0</v>
      </c>
      <c r="N688" s="496">
        <f t="shared" si="285"/>
        <v>5320</v>
      </c>
      <c r="O688" s="496">
        <f t="shared" ca="1" si="282"/>
        <v>3.4572394073303871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v>0</v>
      </c>
      <c r="N690" s="93">
        <f>N691+N692+N693+N694</f>
        <v>5320</v>
      </c>
      <c r="O690" s="93">
        <f ca="1">IF(L690&gt;0,N690*100/L690,0)</f>
        <v>3.4572394073303871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5320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IFERROR(__xludf.DUMMYFUNCTION("IMPORTRANGE(""https://docs.google.com/spreadsheets/d/1QqKyyYR6Q21VydFLVH3TRQUabQu_ym0Zz7PgGX0-kHA/edit?usp=sharing"",""แผน!IC50"")"),663)</f>
        <v>663</v>
      </c>
      <c r="J699" s="269">
        <f ca="1">IFERROR(__xludf.DUMMYFUNCTION("IMPORTRANGE(""https://docs.google.com/spreadsheets/d/1XWAQStnk-4SwqDmLtmXYiTMKHgktTP8We1SCoS47DrQ/edit?usp=sharing"",""จัดที่ดิน!BB50"")"),0)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IFERROR(__xludf.DUMMYFUNCTION("IMPORTRANGE(""https://docs.google.com/spreadsheets/d/1QqKyyYR6Q21VydFLVH3TRQUabQu_ym0Zz7PgGX0-kHA/edit?usp=sharing"",""แผน!ID50"")"),62)</f>
        <v>62</v>
      </c>
      <c r="J700" s="269">
        <f ca="1">IFERROR(__xludf.DUMMYFUNCTION("IMPORTRANGE(""https://docs.google.com/spreadsheets/d/1XWAQStnk-4SwqDmLtmXYiTMKHgktTP8We1SCoS47DrQ/edit?usp=sharing"",""จัดที่ดิน!BD50"")"),0)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IFERROR(__xludf.DUMMYFUNCTION("IMPORTRANGE(""https://docs.google.com/spreadsheets/d/1QqKyyYR6Q21VydFLVH3TRQUabQu_ym0Zz7PgGX0-kHA/edit?usp=sharing"",""แผน!IE50"")"),342)</f>
        <v>342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IFERROR(__xludf.DUMMYFUNCTION("IMPORTRANGE(""https://docs.google.com/spreadsheets/d/1QqKyyYR6Q21VydFLVH3TRQUabQu_ym0Zz7PgGX0-kHA/edit?usp=sharing"",""แผน!IF50"")"),0)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IFERROR(__xludf.DUMMYFUNCTION("IMPORTRANGE(""https://docs.google.com/spreadsheets/d/1QqKyyYR6Q21VydFLVH3TRQUabQu_ym0Zz7PgGX0-kHA/edit?usp=sharing"",""แผน!IG50"")"),342)</f>
        <v>342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IFERROR(__xludf.DUMMYFUNCTION("IMPORTRANGE(""https://docs.google.com/spreadsheets/d/1QqKyyYR6Q21VydFLVH3TRQUabQu_ym0Zz7PgGX0-kHA/edit?usp=sharing"",""แผน!IH50"")"),0)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IFERROR(__xludf.DUMMYFUNCTION("IMPORTRANGE(""https://docs.google.com/spreadsheets/d/1XWAQStnk-4SwqDmLtmXYiTMKHgktTP8We1SCoS47DrQ/edit?usp=sharing"",""จัดที่ดิน!BF50"")"),0)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IFERROR(__xludf.DUMMYFUNCTION("IMPORTRANGE(""https://docs.google.com/spreadsheets/d/1XWAQStnk-4SwqDmLtmXYiTMKHgktTP8We1SCoS47DrQ/edit?usp=sharing"",""จัดที่ดิน!BG50"")"),0)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IFERROR(__xludf.DUMMYFUNCTION("IMPORTRANGE(""https://docs.google.com/spreadsheets/d/1QqKyyYR6Q21VydFLVH3TRQUabQu_ym0Zz7PgGX0-kHA/edit?usp=sharing"",""แผน!II50"")"),44)</f>
        <v>44</v>
      </c>
      <c r="J720" s="269">
        <f ca="1">IFERROR(__xludf.DUMMYFUNCTION("IMPORTRANGE(""https://docs.google.com/spreadsheets/d/1XWAQStnk-4SwqDmLtmXYiTMKHgktTP8We1SCoS47DrQ/edit?usp=sharing"",""จัดที่ดิน!BH50"")"),0)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IFERROR(__xludf.DUMMYFUNCTION("IMPORTRANGE(""https://docs.google.com/spreadsheets/d/1QqKyyYR6Q21VydFLVH3TRQUabQu_ym0Zz7PgGX0-kHA/edit?usp=sharing"",""แผน!IJ50"")"),39)</f>
        <v>39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IFERROR(__xludf.DUMMYFUNCTION("IMPORTRANGE(""https://docs.google.com/spreadsheets/d/1QqKyyYR6Q21VydFLVH3TRQUabQu_ym0Zz7PgGX0-kHA/edit?usp=sharing"",""แผน!IK50"")"),410)</f>
        <v>410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IFERROR(__xludf.DUMMYFUNCTION("IMPORTRANGE(""https://docs.google.com/spreadsheets/d/1QqKyyYR6Q21VydFLVH3TRQUabQu_ym0Zz7PgGX0-kHA/edit?usp=sharing"",""แผน!IL50"")"),39)</f>
        <v>39</v>
      </c>
      <c r="J723" s="269">
        <f ca="1">IFERROR(__xludf.DUMMYFUNCTION("IMPORTRANGE(""https://docs.google.com/spreadsheets/d/1XWAQStnk-4SwqDmLtmXYiTMKHgktTP8We1SCoS47DrQ/edit?usp=sharing"",""จัดที่ดิน!BM50"")"),0)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IFERROR(__xludf.DUMMYFUNCTION("IMPORTRANGE(""https://docs.google.com/spreadsheets/d/1XWAQStnk-4SwqDmLtmXYiTMKHgktTP8We1SCoS47DrQ/edit?usp=sharing"",""จัดที่ดิน!BN50"")"),0)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IFERROR(__xludf.DUMMYFUNCTION("IMPORTRANGE(""https://docs.google.com/spreadsheets/d/1QqKyyYR6Q21VydFLVH3TRQUabQu_ym0Zz7PgGX0-kHA/edit?usp=sharing"",""แผน!IM50"")"),410)</f>
        <v>410</v>
      </c>
      <c r="J725" s="269">
        <f ca="1">IFERROR(__xludf.DUMMYFUNCTION("IMPORTRANGE(""https://docs.google.com/spreadsheets/d/1XWAQStnk-4SwqDmLtmXYiTMKHgktTP8We1SCoS47DrQ/edit?usp=sharing"",""จัดที่ดิน!BO50"")"),0)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IFERROR(__xludf.DUMMYFUNCTION("IMPORTRANGE(""https://docs.google.com/spreadsheets/d/1QqKyyYR6Q21VydFLVH3TRQUabQu_ym0Zz7PgGX0-kHA/edit?usp=sharing"",""แผน!IN50"")"),0)</f>
        <v>0</v>
      </c>
      <c r="J726" s="269">
        <f ca="1">IFERROR(__xludf.DUMMYFUNCTION("IMPORTRANGE(""https://docs.google.com/spreadsheets/d/1XWAQStnk-4SwqDmLtmXYiTMKHgktTP8We1SCoS47DrQ/edit?usp=sharing"",""จัดที่ดิน!BR50"")"),0)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IFERROR(__xludf.DUMMYFUNCTION("IMPORTRANGE(""https://docs.google.com/spreadsheets/d/1XWAQStnk-4SwqDmLtmXYiTMKHgktTP8We1SCoS47DrQ/edit?usp=sharing"",""จัดที่ดิน!BS50"")"),0)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IFERROR(__xludf.DUMMYFUNCTION("IMPORTRANGE(""https://docs.google.com/spreadsheets/d/1QqKyyYR6Q21VydFLVH3TRQUabQu_ym0Zz7PgGX0-kHA/edit?usp=sharing"",""แผน!IO50"")"),0)</f>
        <v>0</v>
      </c>
      <c r="J728" s="269">
        <f ca="1">IFERROR(__xludf.DUMMYFUNCTION("IMPORTRANGE(""https://docs.google.com/spreadsheets/d/1XWAQStnk-4SwqDmLtmXYiTMKHgktTP8We1SCoS47DrQ/edit?usp=sharing"",""จัดที่ดิน!BT50"")"),0)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IFERROR(__xludf.DUMMYFUNCTION("IMPORTRANGE(""https://docs.google.com/spreadsheets/d/1QqKyyYR6Q21VydFLVH3TRQUabQu_ym0Zz7PgGX0-kHA/edit?usp=sharing"",""แผน!IP50"")"),663)</f>
        <v>663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IFERROR(__xludf.DUMMYFUNCTION("IMPORTRANGE(""https://docs.google.com/spreadsheets/d/1MaWodYyGHDf7siQLGxnXhG4mBNTNIuy296niS2xXulU/edit?usp=sharing"",""RTK!I50"")"),0)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69">
        <f ca="1">IFERROR(__xludf.DUMMYFUNCTION("IMPORTRANGE(""https://docs.google.com/spreadsheets/d/19vJNZY_5yjcGF2XGBMNZRCAIB0Kwfpjp8YEOfu-bneM/edit?usp=sharing"",""งานกองทุน!F50"")"),81832.37)</f>
        <v>81832.37</v>
      </c>
      <c r="K821" s="496">
        <f t="shared" ref="K821:K828" ca="1" si="334">IF(I821&gt;0,J821*100/I821,0)</f>
        <v>1.7347697152585286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IFERROR(__xludf.DUMMYFUNCTION("IMPORTRANGE(""https://docs.google.com/spreadsheets/d/19vJNZY_5yjcGF2XGBMNZRCAIB0Kwfpjp8YEOfu-bneM/edit?usp=sharing"",""งานกองทุน!C50"")"),344)</f>
        <v>344</v>
      </c>
      <c r="J822" s="269">
        <f ca="1">IFERROR(__xludf.DUMMYFUNCTION("IMPORTRANGE(""https://docs.google.com/spreadsheets/d/19vJNZY_5yjcGF2XGBMNZRCAIB0Kwfpjp8YEOfu-bneM/edit?usp=sharing"",""งานกองทุน!E50"")"),7)</f>
        <v>7</v>
      </c>
      <c r="K822" s="496">
        <f t="shared" ca="1" si="334"/>
        <v>2.0348837209302326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69">
        <f ca="1">IFERROR(__xludf.DUMMYFUNCTION("IMPORTRANGE(""https://docs.google.com/spreadsheets/d/19vJNZY_5yjcGF2XGBMNZRCAIB0Kwfpjp8YEOfu-bneM/edit?usp=sharing"",""งานกองทุน!K50"")"),13920.57)</f>
        <v>13920.57</v>
      </c>
      <c r="K823" s="496">
        <f t="shared" ca="1" si="334"/>
        <v>0.56853186382794874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IFERROR(__xludf.DUMMYFUNCTION("IMPORTRANGE(""https://docs.google.com/spreadsheets/d/19vJNZY_5yjcGF2XGBMNZRCAIB0Kwfpjp8YEOfu-bneM/edit?usp=sharing"",""งานกองทุน!H50"")"),135)</f>
        <v>135</v>
      </c>
      <c r="J824" s="269">
        <f ca="1">IFERROR(__xludf.DUMMYFUNCTION("IMPORTRANGE(""https://docs.google.com/spreadsheets/d/19vJNZY_5yjcGF2XGBMNZRCAIB0Kwfpjp8YEOfu-bneM/edit?usp=sharing"",""งานกองทุน!J50"")"),5)</f>
        <v>5</v>
      </c>
      <c r="K824" s="496">
        <f t="shared" ca="1" si="334"/>
        <v>3.7037037037037037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IFERROR(__xludf.DUMMYFUNCTION("IMPORTRANGE(""https://docs.google.com/spreadsheets/d/19vJNZY_5yjcGF2XGBMNZRCAIB0Kwfpjp8YEOfu-bneM/edit?usp=sharing"",""งานกองทุน!N50"")"),300886.43)</f>
        <v>300886.43</v>
      </c>
      <c r="J825" s="269">
        <f ca="1">IFERROR(__xludf.DUMMYFUNCTION("IMPORTRANGE(""https://docs.google.com/spreadsheets/d/19vJNZY_5yjcGF2XGBMNZRCAIB0Kwfpjp8YEOfu-bneM/edit?usp=sharing"",""งานกองทุน!P50"")"),4879.38)</f>
        <v>4879.38</v>
      </c>
      <c r="K825" s="496">
        <f t="shared" ca="1" si="334"/>
        <v>1.6216683484197012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IFERROR(__xludf.DUMMYFUNCTION("IMPORTRANGE(""https://docs.google.com/spreadsheets/d/19vJNZY_5yjcGF2XGBMNZRCAIB0Kwfpjp8YEOfu-bneM/edit?usp=sharing"",""งานกองทุน!M50"")"),5)</f>
        <v>5</v>
      </c>
      <c r="J826" s="269">
        <f ca="1">IFERROR(__xludf.DUMMYFUNCTION("IMPORTRANGE(""https://docs.google.com/spreadsheets/d/19vJNZY_5yjcGF2XGBMNZRCAIB0Kwfpjp8YEOfu-bneM/edit?usp=sharing"",""งานกองทุน!O50"")"),3)</f>
        <v>3</v>
      </c>
      <c r="K826" s="496">
        <f t="shared" ca="1" si="334"/>
        <v>60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IFERROR(__xludf.DUMMYFUNCTION("IMPORTRANGE(""https://docs.google.com/spreadsheets/d/19vJNZY_5yjcGF2XGBMNZRCAIB0Kwfpjp8YEOfu-bneM/edit?usp=sharing"",""งานกองทุน!S50"")"),6100000)</f>
        <v>6100000</v>
      </c>
      <c r="J827" s="269">
        <f ca="1">IFERROR(__xludf.DUMMYFUNCTION("IMPORTRANGE(""https://docs.google.com/spreadsheets/d/19vJNZY_5yjcGF2XGBMNZRCAIB0Kwfpjp8YEOfu-bneM/edit?usp=sharing"",""งานกองทุน!U50"")"),0)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IFERROR(__xludf.DUMMYFUNCTION("IMPORTRANGE(""https://docs.google.com/spreadsheets/d/19vJNZY_5yjcGF2XGBMNZRCAIB0Kwfpjp8YEOfu-bneM/edit?usp=sharing"",""งานกองทุน!R50"")"),244)</f>
        <v>244</v>
      </c>
      <c r="J828" s="499">
        <f ca="1">IFERROR(__xludf.DUMMYFUNCTION("IMPORTRANGE(""https://docs.google.com/spreadsheets/d/19vJNZY_5yjcGF2XGBMNZRCAIB0Kwfpjp8YEOfu-bneM/edit?usp=sharing"",""งานกองทุน!T50"")"),36)</f>
        <v>36</v>
      </c>
      <c r="K828" s="500">
        <f t="shared" ca="1" si="334"/>
        <v>14.754098360655737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5F103-0FE1-4BB9-B951-6D07257BD1D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1.285156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356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9538881</v>
      </c>
      <c r="M8" s="22">
        <f t="shared" ca="1" si="0"/>
        <v>3620289</v>
      </c>
      <c r="N8" s="22">
        <f t="shared" ca="1" si="0"/>
        <v>2412726.63</v>
      </c>
      <c r="O8" s="22">
        <f t="shared" ref="O8:O16" ca="1" si="1">IF(L8&gt;0,N8*100/L8,0)</f>
        <v>25.293602362792868</v>
      </c>
      <c r="P8" s="22">
        <f t="shared" ref="P8:P16" ca="1" si="2">IF(M8&gt;0,N8*100/M8,0)</f>
        <v>66.644586385230568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9538881</v>
      </c>
      <c r="M10" s="30">
        <f t="shared" ca="1" si="3"/>
        <v>3620289</v>
      </c>
      <c r="N10" s="30">
        <f t="shared" ca="1" si="3"/>
        <v>2412726.63</v>
      </c>
      <c r="O10" s="30">
        <f t="shared" ca="1" si="1"/>
        <v>25.293602362792868</v>
      </c>
      <c r="P10" s="30">
        <f t="shared" ca="1" si="2"/>
        <v>66.644586385230568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8563881</v>
      </c>
      <c r="M11" s="496">
        <f t="shared" ca="1" si="4"/>
        <v>2645289</v>
      </c>
      <c r="N11" s="496">
        <f t="shared" ca="1" si="4"/>
        <v>1447126.63</v>
      </c>
      <c r="O11" s="496">
        <f t="shared" ca="1" si="1"/>
        <v>16.898023571322394</v>
      </c>
      <c r="P11" s="496">
        <f t="shared" ca="1" si="2"/>
        <v>54.705804545363478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8563881</v>
      </c>
      <c r="M13" s="93">
        <f t="shared" ca="1" si="5"/>
        <v>2645289</v>
      </c>
      <c r="N13" s="93">
        <f t="shared" ca="1" si="5"/>
        <v>1447126.63</v>
      </c>
      <c r="O13" s="93">
        <f t="shared" ca="1" si="1"/>
        <v>16.898023571322394</v>
      </c>
      <c r="P13" s="93">
        <f t="shared" ca="1" si="2"/>
        <v>54.705804545363478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975000</v>
      </c>
      <c r="M14" s="496">
        <f t="shared" ca="1" si="6"/>
        <v>975000</v>
      </c>
      <c r="N14" s="496">
        <f t="shared" ca="1" si="6"/>
        <v>965600</v>
      </c>
      <c r="O14" s="496">
        <f t="shared" ca="1" si="1"/>
        <v>99.035897435897439</v>
      </c>
      <c r="P14" s="496">
        <f t="shared" ca="1" si="2"/>
        <v>99.035897435897439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975000</v>
      </c>
      <c r="N16" s="52">
        <f t="shared" ca="1" si="7"/>
        <v>965600</v>
      </c>
      <c r="O16" s="52">
        <f t="shared" ca="1" si="1"/>
        <v>99.035897435897439</v>
      </c>
      <c r="P16" s="52">
        <f t="shared" ca="1" si="2"/>
        <v>99.035897435897439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3620289</v>
      </c>
      <c r="N18" s="22">
        <f t="shared" ca="1" si="8"/>
        <v>2005906.2</v>
      </c>
      <c r="O18" s="22">
        <f t="shared" ref="O18:O26" ca="1" si="9">IF(L18&gt;0,N18*100/L18,0)</f>
        <v>31.963988954539058</v>
      </c>
      <c r="P18" s="22">
        <f t="shared" ref="P18:P26" ca="1" si="10">IF(M18&gt;0,N18*100/M18,0)</f>
        <v>55.407350076195577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3620289</v>
      </c>
      <c r="N20" s="30">
        <f t="shared" ca="1" si="11"/>
        <v>2005906.2</v>
      </c>
      <c r="O20" s="30">
        <f t="shared" ca="1" si="9"/>
        <v>31.963988954539058</v>
      </c>
      <c r="P20" s="30">
        <f t="shared" ca="1" si="10"/>
        <v>55.407350076195577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5300519</v>
      </c>
      <c r="M21" s="496">
        <f t="shared" ca="1" si="12"/>
        <v>2645289</v>
      </c>
      <c r="N21" s="496">
        <f t="shared" ca="1" si="12"/>
        <v>1040306.2</v>
      </c>
      <c r="O21" s="496">
        <f t="shared" ca="1" si="9"/>
        <v>19.626496952468241</v>
      </c>
      <c r="P21" s="496">
        <f t="shared" ca="1" si="10"/>
        <v>39.326750309701509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5300519</v>
      </c>
      <c r="M23" s="93">
        <f t="shared" ca="1" si="13"/>
        <v>2645289</v>
      </c>
      <c r="N23" s="93">
        <f t="shared" ca="1" si="13"/>
        <v>1040306.2</v>
      </c>
      <c r="O23" s="93">
        <f t="shared" ca="1" si="9"/>
        <v>19.626496952468241</v>
      </c>
      <c r="P23" s="93">
        <f t="shared" ca="1" si="10"/>
        <v>39.326750309701509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975000</v>
      </c>
      <c r="M24" s="496">
        <f t="shared" ca="1" si="14"/>
        <v>975000</v>
      </c>
      <c r="N24" s="496">
        <f t="shared" ca="1" si="14"/>
        <v>965600</v>
      </c>
      <c r="O24" s="496">
        <f t="shared" ca="1" si="9"/>
        <v>99.035897435897439</v>
      </c>
      <c r="P24" s="496">
        <f t="shared" ca="1" si="10"/>
        <v>99.035897435897439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975000</v>
      </c>
      <c r="N26" s="52">
        <f t="shared" ca="1" si="15"/>
        <v>965600</v>
      </c>
      <c r="O26" s="52">
        <f t="shared" ca="1" si="9"/>
        <v>99.035897435897439</v>
      </c>
      <c r="P26" s="52">
        <f t="shared" ca="1" si="10"/>
        <v>99.035897435897439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3263362</v>
      </c>
      <c r="M28" s="22">
        <f t="shared" si="16"/>
        <v>0</v>
      </c>
      <c r="N28" s="22">
        <f t="shared" si="16"/>
        <v>406820.43</v>
      </c>
      <c r="O28" s="22">
        <f t="shared" ref="O28:O37" ca="1" si="17">IF(L28&gt;0,N28*100/L28,0)</f>
        <v>12.466297946718752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3263362</v>
      </c>
      <c r="M30" s="30">
        <f t="shared" si="19"/>
        <v>0</v>
      </c>
      <c r="N30" s="30">
        <f t="shared" si="19"/>
        <v>406820.43</v>
      </c>
      <c r="O30" s="30">
        <f t="shared" ca="1" si="17"/>
        <v>12.466297946718752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3263362</v>
      </c>
      <c r="M31" s="496">
        <f t="shared" si="20"/>
        <v>0</v>
      </c>
      <c r="N31" s="496">
        <f t="shared" si="20"/>
        <v>406820.43</v>
      </c>
      <c r="O31" s="496">
        <f t="shared" ca="1" si="17"/>
        <v>12.466297946718752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3263362</v>
      </c>
      <c r="M33" s="93">
        <f t="shared" si="21"/>
        <v>0</v>
      </c>
      <c r="N33" s="93">
        <f t="shared" si="21"/>
        <v>406820.43</v>
      </c>
      <c r="O33" s="93">
        <f t="shared" ca="1" si="17"/>
        <v>12.466297946718752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6275519</v>
      </c>
      <c r="M37" s="59">
        <f t="shared" ca="1" si="24"/>
        <v>3620289</v>
      </c>
      <c r="N37" s="59">
        <f t="shared" ca="1" si="24"/>
        <v>2005906.2000000002</v>
      </c>
      <c r="O37" s="59">
        <f t="shared" ca="1" si="17"/>
        <v>31.963988954539065</v>
      </c>
      <c r="P37" s="59">
        <f t="shared" ca="1" si="18"/>
        <v>55.407350076195584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241909</v>
      </c>
      <c r="N41" s="85">
        <f t="shared" ca="1" si="25"/>
        <v>137259</v>
      </c>
      <c r="O41" s="85">
        <f t="shared" ref="O41:O49" ca="1" si="26">IF(L41&gt;0,N41*100/L41,0)</f>
        <v>28.681729943434352</v>
      </c>
      <c r="P41" s="85">
        <f t="shared" ref="P41:P49" ca="1" si="27">IF(M41&gt;0,N41*100/M41,0)</f>
        <v>56.739931131127818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241909</v>
      </c>
      <c r="N43" s="92">
        <f t="shared" ca="1" si="28"/>
        <v>137259</v>
      </c>
      <c r="O43" s="92">
        <f t="shared" ca="1" si="26"/>
        <v>28.681729943434352</v>
      </c>
      <c r="P43" s="92">
        <f t="shared" ca="1" si="27"/>
        <v>56.739931131127818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478559</v>
      </c>
      <c r="M44" s="496">
        <f t="shared" ca="1" si="29"/>
        <v>241909</v>
      </c>
      <c r="N44" s="496">
        <f t="shared" ca="1" si="29"/>
        <v>137259</v>
      </c>
      <c r="O44" s="496">
        <f t="shared" ca="1" si="26"/>
        <v>28.681729943434352</v>
      </c>
      <c r="P44" s="496">
        <f t="shared" ca="1" si="27"/>
        <v>56.739931131127818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IFERROR(__xludf.DUMMYFUNCTION("IMPORTRANGE(""https://docs.google.com/spreadsheets/d/1MeEWN-I1oV_STSDYn1IFDPWt_1FKiwhDph83XaGc0o0/edit?usp=sharing"",""งบพรบ!R51"")"),241909)</f>
        <v>241909</v>
      </c>
      <c r="N46" s="93">
        <f ca="1">IFERROR(__xludf.DUMMYFUNCTION("IMPORTRANGE(""https://docs.google.com/spreadsheets/d/1MeEWN-I1oV_STSDYn1IFDPWt_1FKiwhDph83XaGc0o0/edit?usp=sharing"",""งบพรบ!T51"")"),137259)</f>
        <v>137259</v>
      </c>
      <c r="O46" s="93">
        <f t="shared" ca="1" si="26"/>
        <v>28.681729943434352</v>
      </c>
      <c r="P46" s="93">
        <f t="shared" ca="1" si="27"/>
        <v>56.739931131127818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1376250</v>
      </c>
      <c r="N53" s="116">
        <f t="shared" ca="1" si="31"/>
        <v>1119069.1000000001</v>
      </c>
      <c r="O53" s="116">
        <f t="shared" ref="O53:O61" ca="1" si="32">IF(L53&gt;0,N53*100/L53,0)</f>
        <v>60.375996762881044</v>
      </c>
      <c r="P53" s="116">
        <f t="shared" ref="P53:P61" ca="1" si="33">IF(M53&gt;0,N53*100/M53,0)</f>
        <v>81.312922797456864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1376250</v>
      </c>
      <c r="N55" s="123">
        <f t="shared" ca="1" si="34"/>
        <v>1119069.1000000001</v>
      </c>
      <c r="O55" s="123">
        <f t="shared" ca="1" si="32"/>
        <v>60.375996762881044</v>
      </c>
      <c r="P55" s="123">
        <f t="shared" ca="1" si="33"/>
        <v>81.312922797456864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954500</v>
      </c>
      <c r="M56" s="496">
        <f t="shared" ca="1" si="35"/>
        <v>477250</v>
      </c>
      <c r="N56" s="496">
        <f t="shared" ca="1" si="35"/>
        <v>229469.1</v>
      </c>
      <c r="O56" s="496">
        <f t="shared" ca="1" si="32"/>
        <v>24.040764798323728</v>
      </c>
      <c r="P56" s="496">
        <f t="shared" ca="1" si="33"/>
        <v>48.081529596647457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IFERROR(__xludf.DUMMYFUNCTION("IMPORTRANGE(""https://docs.google.com/spreadsheets/d/1MeEWN-I1oV_STSDYn1IFDPWt_1FKiwhDph83XaGc0o0/edit?usp=sharing"",""งบพรบ!AB51"")"),477250)</f>
        <v>477250</v>
      </c>
      <c r="N58" s="93">
        <f ca="1">IFERROR(__xludf.DUMMYFUNCTION("IMPORTRANGE(""https://docs.google.com/spreadsheets/d/1MeEWN-I1oV_STSDYn1IFDPWt_1FKiwhDph83XaGc0o0/edit?usp=sharing"",""งบพรบ!AD51"")"),229469.1)</f>
        <v>229469.1</v>
      </c>
      <c r="O58" s="93">
        <f t="shared" ca="1" si="32"/>
        <v>24.040764798323728</v>
      </c>
      <c r="P58" s="93">
        <f t="shared" ca="1" si="33"/>
        <v>48.081529596647457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899000</v>
      </c>
      <c r="M59" s="496">
        <f t="shared" ca="1" si="36"/>
        <v>899000</v>
      </c>
      <c r="N59" s="496">
        <f t="shared" ca="1" si="36"/>
        <v>889600</v>
      </c>
      <c r="O59" s="496">
        <f t="shared" ca="1" si="32"/>
        <v>98.954393770856512</v>
      </c>
      <c r="P59" s="496">
        <f t="shared" ca="1" si="33"/>
        <v>98.954393770856512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IFERROR(__xludf.DUMMYFUNCTION("IMPORTRANGE(""https://docs.google.com/spreadsheets/d/1MeEWN-I1oV_STSDYn1IFDPWt_1FKiwhDph83XaGc0o0/edit?usp=sharing"",""งบพรบ!AC51"")"),899000)</f>
        <v>899000</v>
      </c>
      <c r="N61" s="52">
        <f ca="1">IFERROR(__xludf.DUMMYFUNCTION("IMPORTRANGE(""https://docs.google.com/spreadsheets/d/1MeEWN-I1oV_STSDYn1IFDPWt_1FKiwhDph83XaGc0o0/edit?usp=sharing"",""งบพรบ!AE51"")"),889600)</f>
        <v>889600</v>
      </c>
      <c r="O61" s="52">
        <f t="shared" ca="1" si="32"/>
        <v>98.954393770856512</v>
      </c>
      <c r="P61" s="52">
        <f t="shared" ca="1" si="33"/>
        <v>98.954393770856512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35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412000</v>
      </c>
      <c r="M66" s="155">
        <f t="shared" ca="1" si="39"/>
        <v>200000</v>
      </c>
      <c r="N66" s="155">
        <f t="shared" ca="1" si="39"/>
        <v>23500</v>
      </c>
      <c r="O66" s="155">
        <f t="shared" ref="O66:O74" ca="1" si="40">IF(L66&gt;0,N66*100/L66,0)</f>
        <v>5.7038834951456314</v>
      </c>
      <c r="P66" s="155">
        <f t="shared" ref="P66:P74" ca="1" si="41">IF(M66&gt;0,N66*100/M66,0)</f>
        <v>11.75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412000</v>
      </c>
      <c r="M68" s="93">
        <f t="shared" ca="1" si="42"/>
        <v>200000</v>
      </c>
      <c r="N68" s="93">
        <f t="shared" ca="1" si="42"/>
        <v>23500</v>
      </c>
      <c r="O68" s="93">
        <f t="shared" ca="1" si="40"/>
        <v>5.7038834951456314</v>
      </c>
      <c r="P68" s="93">
        <f t="shared" ca="1" si="41"/>
        <v>11.75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412000</v>
      </c>
      <c r="M69" s="496">
        <f t="shared" ca="1" si="43"/>
        <v>200000</v>
      </c>
      <c r="N69" s="496">
        <f t="shared" ca="1" si="43"/>
        <v>23500</v>
      </c>
      <c r="O69" s="496">
        <f t="shared" ca="1" si="40"/>
        <v>5.7038834951456314</v>
      </c>
      <c r="P69" s="496">
        <f t="shared" ca="1" si="41"/>
        <v>11.75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IFERROR(__xludf.DUMMYFUNCTION("IMPORTRANGE(""https://docs.google.com/spreadsheets/d/1MeEWN-I1oV_STSDYn1IFDPWt_1FKiwhDph83XaGc0o0/edit?usp=sharing"",""งบพรบ!AL51"")"),200000)</f>
        <v>200000</v>
      </c>
      <c r="N71" s="93">
        <f ca="1">IFERROR(__xludf.DUMMYFUNCTION("IMPORTRANGE(""https://docs.google.com/spreadsheets/d/1MeEWN-I1oV_STSDYn1IFDPWt_1FKiwhDph83XaGc0o0/edit?usp=sharing"",""งบพรบ!AN51"")"),23500)</f>
        <v>23500</v>
      </c>
      <c r="O71" s="93">
        <f t="shared" ca="1" si="40"/>
        <v>5.7038834951456314</v>
      </c>
      <c r="P71" s="93">
        <f t="shared" ca="1" si="41"/>
        <v>11.75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35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98960</v>
      </c>
      <c r="M88" s="155">
        <f t="shared" ca="1" si="49"/>
        <v>32760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98960</v>
      </c>
      <c r="M90" s="93">
        <f t="shared" ca="1" si="52"/>
        <v>32760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98960</v>
      </c>
      <c r="M91" s="496">
        <f t="shared" ca="1" si="53"/>
        <v>32760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IFERROR(__xludf.DUMMYFUNCTION("IMPORTRANGE(""https://docs.google.com/spreadsheets/d/1MeEWN-I1oV_STSDYn1IFDPWt_1FKiwhDph83XaGc0o0/edit?usp=sharing"",""งบพรบ!AV51"")"),32760)</f>
        <v>32760</v>
      </c>
      <c r="N93" s="93">
        <f ca="1">IFERROR(__xludf.DUMMYFUNCTION("IMPORTRANGE(""https://docs.google.com/spreadsheets/d/1MeEWN-I1oV_STSDYn1IFDPWt_1FKiwhDph83XaGc0o0/edit?usp=sharing"",""งบพรบ!AX51"")"),0)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IFERROR(__xludf.DUMMYFUNCTION("IMPORTRANGE(""https://docs.google.com/spreadsheets/d/1QqKyyYR6Q21VydFLVH3TRQUabQu_ym0Zz7PgGX0-kHA/edit?usp=sharing"",""แผน!K51"")"),45)</f>
        <v>45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IFERROR(__xludf.DUMMYFUNCTION("IMPORTRANGE(""https://docs.google.com/spreadsheets/d/1QqKyyYR6Q21VydFLVH3TRQUabQu_ym0Zz7PgGX0-kHA/edit?usp=sharing"",""แผน!L51"")"),15)</f>
        <v>15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IFERROR(__xludf.DUMMYFUNCTION("IMPORTRANGE(""https://docs.google.com/spreadsheets/d/1QqKyyYR6Q21VydFLVH3TRQUabQu_ym0Zz7PgGX0-kHA/edit?usp=sharing"",""แผน!M51"")"),2)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IFERROR(__xludf.DUMMYFUNCTION("IMPORTRANGE(""https://docs.google.com/spreadsheets/d/1QqKyyYR6Q21VydFLVH3TRQUabQu_ym0Zz7PgGX0-kHA/edit?usp=sharing"",""แผน!N51"")"),45)</f>
        <v>45</v>
      </c>
      <c r="J102" s="214"/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IFERROR(__xludf.DUMMYFUNCTION("IMPORTRANGE(""https://docs.google.com/spreadsheets/d/1QqKyyYR6Q21VydFLVH3TRQUabQu_ym0Zz7PgGX0-kHA/edit?usp=sharing"",""แผน!O51"")"),15)</f>
        <v>15</v>
      </c>
      <c r="J103" s="214"/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IFERROR(__xludf.DUMMYFUNCTION("IMPORTRANGE(""https://docs.google.com/spreadsheets/d/1QqKyyYR6Q21VydFLVH3TRQUabQu_ym0Zz7PgGX0-kHA/edit?usp=sharing"",""แผน!O51"")"),15)</f>
        <v>15</v>
      </c>
      <c r="J104" s="214"/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IFERROR(__xludf.DUMMYFUNCTION("IMPORTRANGE(""https://docs.google.com/spreadsheets/d/1QqKyyYR6Q21VydFLVH3TRQUabQu_ym0Zz7PgGX0-kHA/edit?usp=sharing"",""แผน!P51"")"),1)</f>
        <v>1</v>
      </c>
      <c r="J106" s="214"/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IFERROR(__xludf.DUMMYFUNCTION("IMPORTRANGE(""https://docs.google.com/spreadsheets/d/1QqKyyYR6Q21VydFLVH3TRQUabQu_ym0Zz7PgGX0-kHA/edit?usp=sharing"",""แผน!P51"")"),1)</f>
        <v>1</v>
      </c>
      <c r="J107" s="214"/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IFERROR(__xludf.DUMMYFUNCTION("IMPORTRANGE(""https://docs.google.com/spreadsheets/d/1QqKyyYR6Q21VydFLVH3TRQUabQu_ym0Zz7PgGX0-kHA/edit?usp=sharing"",""แผน!Q51"")"),1)</f>
        <v>1</v>
      </c>
      <c r="J109" s="214"/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IFERROR(__xludf.DUMMYFUNCTION("IMPORTRANGE(""https://docs.google.com/spreadsheets/d/1QqKyyYR6Q21VydFLVH3TRQUabQu_ym0Zz7PgGX0-kHA/edit?usp=sharing"",""แผน!Q51"")"),1)</f>
        <v>1</v>
      </c>
      <c r="J110" s="214"/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4"/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4"/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4"/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4"/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/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IFERROR(__xludf.DUMMYFUNCTION("IMPORTRANGE(""https://docs.google.com/spreadsheets/d/1QqKyyYR6Q21VydFLVH3TRQUabQu_ym0Zz7PgGX0-kHA/edit?usp=sharing"",""แผน!U51"")"),0)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IFERROR(__xludf.DUMMYFUNCTION("IMPORTRANGE(""https://docs.google.com/spreadsheets/d/1QqKyyYR6Q21VydFLVH3TRQUabQu_ym0Zz7PgGX0-kHA/edit?usp=sharing"",""แผน!V51"")"),0)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IFERROR(__xludf.DUMMYFUNCTION("IMPORTRANGE(""https://docs.google.com/spreadsheets/d/1QqKyyYR6Q21VydFLVH3TRQUabQu_ym0Zz7PgGX0-kHA/edit?usp=sharing"",""แผน!W51"")"),0)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IFERROR(__xludf.DUMMYFUNCTION("IMPORTRANGE(""https://docs.google.com/spreadsheets/d/1QqKyyYR6Q21VydFLVH3TRQUabQu_ym0Zz7PgGX0-kHA/edit?usp=sharing"",""แผน!X51"")"),0)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252">
        <f t="shared" ref="I164:J164" ca="1" si="83">I174+I177</f>
        <v>12</v>
      </c>
      <c r="J164" s="252">
        <f t="shared" si="83"/>
        <v>12</v>
      </c>
      <c r="K164" s="253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19660</v>
      </c>
      <c r="O165" s="155">
        <f t="shared" ref="O165:O173" ca="1" si="85">IF(L165&gt;0,N165*100/L165,0)</f>
        <v>85.255854293148303</v>
      </c>
      <c r="P165" s="155">
        <f t="shared" ref="P165:P173" ca="1" si="86">IF(M165&gt;0,N165*100/M165,0)</f>
        <v>85.255854293148303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19660</v>
      </c>
      <c r="O167" s="93">
        <f t="shared" ca="1" si="85"/>
        <v>85.255854293148303</v>
      </c>
      <c r="P167" s="93">
        <f t="shared" ca="1" si="86"/>
        <v>85.255854293148303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19660</v>
      </c>
      <c r="O168" s="496">
        <f t="shared" ca="1" si="85"/>
        <v>85.255854293148303</v>
      </c>
      <c r="P168" s="496">
        <f t="shared" ca="1" si="86"/>
        <v>85.255854293148303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IFERROR(__xludf.DUMMYFUNCTION("IMPORTRANGE(""https://docs.google.com/spreadsheets/d/1MeEWN-I1oV_STSDYn1IFDPWt_1FKiwhDph83XaGc0o0/edit?usp=sharing"",""งบพรบ!CJ51"")"),23060)</f>
        <v>23060</v>
      </c>
      <c r="N170" s="93">
        <f ca="1">IFERROR(__xludf.DUMMYFUNCTION("IMPORTRANGE(""https://docs.google.com/spreadsheets/d/1MeEWN-I1oV_STSDYn1IFDPWt_1FKiwhDph83XaGc0o0/edit?usp=sharing"",""งบพรบ!CL51"")"),19660)</f>
        <v>19660</v>
      </c>
      <c r="O170" s="93">
        <f t="shared" ca="1" si="85"/>
        <v>85.255854293148303</v>
      </c>
      <c r="P170" s="93">
        <f t="shared" ca="1" si="86"/>
        <v>85.255854293148303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12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IFERROR(__xludf.DUMMYFUNCTION("IMPORTRANGE(""https://docs.google.com/spreadsheets/d/1QqKyyYR6Q21VydFLVH3TRQUabQu_ym0Zz7PgGX0-kHA/edit?usp=sharing"",""แผน!Y51"")"),12)</f>
        <v>12</v>
      </c>
      <c r="J176" s="214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40</v>
      </c>
      <c r="J180" s="252">
        <f t="shared" si="91"/>
        <v>0</v>
      </c>
      <c r="K180" s="253">
        <f ca="1"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5">
        <f t="shared" ref="L181:N181" ca="1" si="92">L182+L183</f>
        <v>492400</v>
      </c>
      <c r="M181" s="155">
        <f t="shared" ca="1" si="92"/>
        <v>249650</v>
      </c>
      <c r="N181" s="155">
        <f t="shared" ca="1" si="92"/>
        <v>111744.25</v>
      </c>
      <c r="O181" s="155">
        <f t="shared" ref="O181:O189" ca="1" si="93">IF(L181&gt;0,N181*100/L181,0)</f>
        <v>22.69379569455727</v>
      </c>
      <c r="P181" s="155">
        <f t="shared" ref="P181:P189" ca="1" si="94">IF(M181&gt;0,N181*100/M181,0)</f>
        <v>44.760364510314439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492400</v>
      </c>
      <c r="M183" s="93">
        <f t="shared" ca="1" si="95"/>
        <v>249650</v>
      </c>
      <c r="N183" s="93">
        <f t="shared" ca="1" si="95"/>
        <v>111744.25</v>
      </c>
      <c r="O183" s="93">
        <f t="shared" ca="1" si="93"/>
        <v>22.69379569455727</v>
      </c>
      <c r="P183" s="93">
        <f t="shared" ca="1" si="94"/>
        <v>44.760364510314439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492400</v>
      </c>
      <c r="M184" s="496">
        <f t="shared" ca="1" si="96"/>
        <v>249650</v>
      </c>
      <c r="N184" s="496">
        <f t="shared" ca="1" si="96"/>
        <v>111744.25</v>
      </c>
      <c r="O184" s="496">
        <f t="shared" ca="1" si="93"/>
        <v>22.69379569455727</v>
      </c>
      <c r="P184" s="496">
        <f t="shared" ca="1" si="94"/>
        <v>44.760364510314439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IFERROR(__xludf.DUMMYFUNCTION("IMPORTRANGE(""https://docs.google.com/spreadsheets/d/1MeEWN-I1oV_STSDYn1IFDPWt_1FKiwhDph83XaGc0o0/edit?usp=sharing"",""งบพรบ!CT51"")"),249650)</f>
        <v>249650</v>
      </c>
      <c r="N186" s="93">
        <f ca="1">IFERROR(__xludf.DUMMYFUNCTION("IMPORTRANGE(""https://docs.google.com/spreadsheets/d/1MeEWN-I1oV_STSDYn1IFDPWt_1FKiwhDph83XaGc0o0/edit?usp=sharing"",""งบพรบ!CV51"")"),111744.25)</f>
        <v>111744.25</v>
      </c>
      <c r="O186" s="93">
        <f t="shared" ca="1" si="93"/>
        <v>22.69379569455727</v>
      </c>
      <c r="P186" s="93">
        <f t="shared" ca="1" si="94"/>
        <v>44.760364510314439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5"/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IFERROR(__xludf.DUMMYFUNCTION("IMPORTRANGE(""https://docs.google.com/spreadsheets/d/1QqKyyYR6Q21VydFLVH3TRQUabQu_ym0Zz7PgGX0-kHA/edit?usp=sharing"",""แผน!AC51"")"),4)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4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IFERROR(__xludf.DUMMYFUNCTION("IMPORTRANGE(""https://docs.google.com/spreadsheets/d/1QqKyyYR6Q21VydFLVH3TRQUabQu_ym0Zz7PgGX0-kHA/edit?usp=sharing"",""แผน!AE51"")"),4000)</f>
        <v>4000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IFERROR(__xludf.DUMMYFUNCTION("IMPORTRANGE(""https://docs.google.com/spreadsheets/d/1QqKyyYR6Q21VydFLVH3TRQUabQu_ym0Zz7PgGX0-kHA/edit?usp=sharing"",""แผน!AF51"")"),32000)</f>
        <v>32000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IFERROR(__xludf.DUMMYFUNCTION("IMPORTRANGE(""https://docs.google.com/spreadsheets/d/1QqKyyYR6Q21VydFLVH3TRQUabQu_ym0Zz7PgGX0-kHA/edit?usp=sharing"",""แผน!AG51"")"),16000)</f>
        <v>16000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IFERROR(__xludf.DUMMYFUNCTION("IMPORTRANGE(""https://docs.google.com/spreadsheets/d/1QqKyyYR6Q21VydFLVH3TRQUabQu_ym0Zz7PgGX0-kHA/edit?usp=sharing"",""แผน!AH51"")"),0)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IFERROR(__xludf.DUMMYFUNCTION("IMPORTRANGE(""https://docs.google.com/spreadsheets/d/1QqKyyYR6Q21VydFLVH3TRQUabQu_ym0Zz7PgGX0-kHA/edit?usp=sharing"",""แผน!AI51"")"),4)</f>
        <v>4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4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2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IFERROR(__xludf.DUMMYFUNCTION("IMPORTRANGE(""https://docs.google.com/spreadsheets/d/1QqKyyYR6Q21VydFLVH3TRQUabQu_ym0Zz7PgGX0-kHA/edit?usp=sharing"",""แผน!AK51"")"),2000)</f>
        <v>2000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IFERROR(__xludf.DUMMYFUNCTION("IMPORTRANGE(""https://docs.google.com/spreadsheets/d/1QqKyyYR6Q21VydFLVH3TRQUabQu_ym0Zz7PgGX0-kHA/edit?usp=sharing"",""แผน!AL51"")"),10000)</f>
        <v>10000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IFERROR(__xludf.DUMMYFUNCTION("IMPORTRANGE(""https://docs.google.com/spreadsheets/d/1QqKyyYR6Q21VydFLVH3TRQUabQu_ym0Zz7PgGX0-kHA/edit?usp=sharing"",""แผน!AM51"")"),16000)</f>
        <v>16000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IFERROR(__xludf.DUMMYFUNCTION("IMPORTRANGE(""https://docs.google.com/spreadsheets/d/1QqKyyYR6Q21VydFLVH3TRQUabQu_ym0Zz7PgGX0-kHA/edit?usp=sharing"",""แผน!AN51"")"),2)</f>
        <v>2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IFERROR(__xludf.DUMMYFUNCTION("IMPORTRANGE(""https://docs.google.com/spreadsheets/d/1QqKyyYR6Q21VydFLVH3TRQUabQu_ym0Zz7PgGX0-kHA/edit?usp=sharing"",""แผน!AN51"")"),2)</f>
        <v>2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30000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IFERROR(__xludf.DUMMYFUNCTION("IMPORTRANGE(""https://docs.google.com/spreadsheets/d/1QqKyyYR6Q21VydFLVH3TRQUabQu_ym0Zz7PgGX0-kHA/edit?usp=sharing"",""แผน!AP51"")"),5000)</f>
        <v>5000</v>
      </c>
      <c r="M218" s="496"/>
      <c r="N218" s="816"/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IFERROR(__xludf.DUMMYFUNCTION("IMPORTRANGE(""https://docs.google.com/spreadsheets/d/1QqKyyYR6Q21VydFLVH3TRQUabQu_ym0Zz7PgGX0-kHA/edit?usp=sharing"",""แผน!AQ51"")"),8500)</f>
        <v>8500</v>
      </c>
      <c r="M219" s="496"/>
      <c r="N219" s="816"/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IFERROR(__xludf.DUMMYFUNCTION("IMPORTRANGE(""https://docs.google.com/spreadsheets/d/1QqKyyYR6Q21VydFLVH3TRQUabQu_ym0Zz7PgGX0-kHA/edit?usp=sharing"",""แผน!AR51"")"),0)</f>
        <v>0</v>
      </c>
      <c r="M220" s="496"/>
      <c r="N220" s="816"/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IFERROR(__xludf.DUMMYFUNCTION("IMPORTRANGE(""https://docs.google.com/spreadsheets/d/1QqKyyYR6Q21VydFLVH3TRQUabQu_ym0Zz7PgGX0-kHA/edit?usp=sharing"",""แผน!AT51"")"),30000)</f>
        <v>30000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IFERROR(__xludf.DUMMYFUNCTION("IMPORTRANGE(""https://docs.google.com/spreadsheets/d/1QqKyyYR6Q21VydFLVH3TRQUabQu_ym0Zz7PgGX0-kHA/edit?usp=sharing"",""แผน!AT51"")"),30000)</f>
        <v>30000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IFERROR(__xludf.DUMMYFUNCTION("IMPORTRANGE(""https://docs.google.com/spreadsheets/d/1QqKyyYR6Q21VydFLVH3TRQUabQu_ym0Zz7PgGX0-kHA/edit?usp=sharing"",""แผน!AS51"")"),0)</f>
        <v>0</v>
      </c>
      <c r="J225" s="214">
        <v>0</v>
      </c>
      <c r="K225" s="163">
        <f t="shared" ca="1" si="104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55"/>
      <c r="B226" s="263"/>
      <c r="C226" s="341" t="s">
        <v>120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40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217400</v>
      </c>
      <c r="M227" s="355"/>
      <c r="N227" s="355">
        <f t="shared" ref="N227:N231" si="107">N238+N249</f>
        <v>50800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14600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44400</v>
      </c>
      <c r="M229" s="93"/>
      <c r="N229" s="93">
        <f t="shared" si="107"/>
        <v>36200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40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1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5"/>
      <c r="B237" s="263"/>
      <c r="C237" s="270" t="s">
        <v>357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40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217400</v>
      </c>
      <c r="M238" s="155"/>
      <c r="N238" s="155">
        <f>N239+N240+N241+N242</f>
        <v>50800</v>
      </c>
      <c r="O238" s="155">
        <f ca="1">IF(L238&gt;0,N238*100/L238,0)</f>
        <v>23.367065317387304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IFERROR(__xludf.DUMMYFUNCTION("IMPORTRANGE(""https://docs.google.com/spreadsheets/d/1QqKyyYR6Q21VydFLVH3TRQUabQu_ym0Zz7PgGX0-kHA/edit?usp=sharing"",""แผน!AV51"")"),163000)</f>
        <v>163000</v>
      </c>
      <c r="M239" s="321"/>
      <c r="N239" s="852">
        <v>14600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IFERROR(__xludf.DUMMYFUNCTION("IMPORTRANGE(""https://docs.google.com/spreadsheets/d/1QqKyyYR6Q21VydFLVH3TRQUabQu_ym0Zz7PgGX0-kHA/edit?usp=sharing"",""แผน!AW51"")"),44400)</f>
        <v>44400</v>
      </c>
      <c r="M240" s="321"/>
      <c r="N240" s="852">
        <v>36200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IFERROR(__xludf.DUMMYFUNCTION("IMPORTRANGE(""https://docs.google.com/spreadsheets/d/1QqKyyYR6Q21VydFLVH3TRQUabQu_ym0Zz7PgGX0-kHA/edit?usp=sharing"",""แผน!AX51"")"),0)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IFERROR(__xludf.DUMMYFUNCTION("IMPORTRANGE(""https://docs.google.com/spreadsheets/d/1QqKyyYR6Q21VydFLVH3TRQUabQu_ym0Zz7PgGX0-kHA/edit?usp=sharing"",""แผน!AY51"")"),10000)</f>
        <v>10000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IFERROR(__xludf.DUMMYFUNCTION("IMPORTRANGE(""https://docs.google.com/spreadsheets/d/1QqKyyYR6Q21VydFLVH3TRQUabQu_ym0Zz7PgGX0-kHA/edit?usp=sharing"",""แผน!BE51"")"),40)</f>
        <v>40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>
        <v>0</v>
      </c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>
        <v>1</v>
      </c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339"/>
      <c r="B248" s="340"/>
      <c r="C248" s="341" t="s">
        <v>358</v>
      </c>
      <c r="D248" s="342"/>
      <c r="E248" s="342"/>
      <c r="F248" s="342"/>
      <c r="G248" s="343"/>
      <c r="H248" s="265" t="s">
        <v>35</v>
      </c>
      <c r="I248" s="344">
        <f t="shared" ref="I248:J248" ca="1" si="113">I255</f>
        <v>0</v>
      </c>
      <c r="J248" s="344">
        <f t="shared" si="113"/>
        <v>0</v>
      </c>
      <c r="K248" s="345">
        <f t="shared" ca="1" si="112"/>
        <v>0</v>
      </c>
      <c r="L248" s="346"/>
      <c r="M248" s="346"/>
      <c r="N248" s="346"/>
      <c r="O248" s="346"/>
      <c r="P248" s="346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</row>
    <row r="249" spans="1:26" ht="19.5">
      <c r="A249" s="347"/>
      <c r="B249" s="348"/>
      <c r="C249" s="349" t="s">
        <v>16</v>
      </c>
      <c r="D249" s="870" t="s">
        <v>17</v>
      </c>
      <c r="E249" s="348"/>
      <c r="F249" s="348"/>
      <c r="G249" s="351"/>
      <c r="H249" s="352" t="s">
        <v>12</v>
      </c>
      <c r="I249" s="353"/>
      <c r="J249" s="353"/>
      <c r="K249" s="354"/>
      <c r="L249" s="355">
        <f ca="1">L250+L251+L252+L253</f>
        <v>0</v>
      </c>
      <c r="M249" s="355"/>
      <c r="N249" s="355">
        <f>N250+N251+N252+N253</f>
        <v>0</v>
      </c>
      <c r="O249" s="355">
        <f ca="1">IF(L249&gt;0,N249*100/L249,0)</f>
        <v>0</v>
      </c>
      <c r="P249" s="355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>
      <c r="A250" s="156"/>
      <c r="B250" s="356"/>
      <c r="C250" s="40"/>
      <c r="D250" s="222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7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>
      <c r="A251" s="358"/>
      <c r="B251" s="356"/>
      <c r="C251" s="359"/>
      <c r="D251" s="222" t="s">
        <v>98</v>
      </c>
      <c r="E251" s="40"/>
      <c r="F251" s="40"/>
      <c r="G251" s="42"/>
      <c r="H251" s="165" t="s">
        <v>12</v>
      </c>
      <c r="I251" s="610"/>
      <c r="J251" s="610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7">
        <v>0</v>
      </c>
      <c r="O251" s="93"/>
      <c r="P251" s="93"/>
      <c r="Q251" s="360"/>
      <c r="R251" s="360"/>
      <c r="S251" s="360"/>
      <c r="T251" s="360"/>
      <c r="U251" s="360"/>
      <c r="V251" s="360"/>
      <c r="W251" s="360"/>
      <c r="X251" s="360"/>
      <c r="Y251" s="360"/>
      <c r="Z251" s="360"/>
    </row>
    <row r="252" spans="1:26" ht="19.5">
      <c r="A252" s="358"/>
      <c r="B252" s="356"/>
      <c r="C252" s="359"/>
      <c r="D252" s="222" t="s">
        <v>116</v>
      </c>
      <c r="E252" s="40"/>
      <c r="F252" s="40"/>
      <c r="G252" s="42"/>
      <c r="H252" s="165" t="s">
        <v>12</v>
      </c>
      <c r="I252" s="610"/>
      <c r="J252" s="610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7">
        <v>0</v>
      </c>
      <c r="O252" s="93"/>
      <c r="P252" s="93"/>
      <c r="Q252" s="360"/>
      <c r="R252" s="360"/>
      <c r="S252" s="360"/>
      <c r="T252" s="360"/>
      <c r="U252" s="360"/>
      <c r="V252" s="360"/>
      <c r="W252" s="360"/>
      <c r="X252" s="360"/>
      <c r="Y252" s="360"/>
      <c r="Z252" s="360"/>
    </row>
    <row r="253" spans="1:26" ht="19.5">
      <c r="A253" s="358"/>
      <c r="B253" s="356"/>
      <c r="C253" s="359"/>
      <c r="D253" s="222" t="s">
        <v>100</v>
      </c>
      <c r="E253" s="40"/>
      <c r="F253" s="40"/>
      <c r="G253" s="42"/>
      <c r="H253" s="165" t="s">
        <v>12</v>
      </c>
      <c r="I253" s="610"/>
      <c r="J253" s="610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7">
        <v>0</v>
      </c>
      <c r="O253" s="93"/>
      <c r="P253" s="93"/>
      <c r="Q253" s="360"/>
      <c r="R253" s="360"/>
      <c r="S253" s="360"/>
      <c r="T253" s="360"/>
      <c r="U253" s="360"/>
      <c r="V253" s="360"/>
      <c r="W253" s="360"/>
      <c r="X253" s="360"/>
      <c r="Y253" s="360"/>
      <c r="Z253" s="360"/>
    </row>
    <row r="254" spans="1:26" ht="19.5">
      <c r="A254" s="361"/>
      <c r="B254" s="362"/>
      <c r="C254" s="359" t="s">
        <v>16</v>
      </c>
      <c r="D254" s="266" t="s">
        <v>38</v>
      </c>
      <c r="E254" s="363"/>
      <c r="F254" s="363"/>
      <c r="G254" s="364"/>
      <c r="H254" s="365"/>
      <c r="I254" s="166"/>
      <c r="J254" s="610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>
      <c r="A255" s="361"/>
      <c r="B255" s="362"/>
      <c r="C255" s="362"/>
      <c r="D255" s="366" t="s">
        <v>117</v>
      </c>
      <c r="E255" s="372"/>
      <c r="F255" s="372"/>
      <c r="G255" s="368"/>
      <c r="H255" s="369" t="s">
        <v>35</v>
      </c>
      <c r="I255" s="610">
        <f ca="1">IFERROR(__xludf.DUMMYFUNCTION("IMPORTRANGE(""https://docs.google.com/spreadsheets/d/1QqKyyYR6Q21VydFLVH3TRQUabQu_ym0Zz7PgGX0-kHA/edit?usp=sharing"",""แผน!BF51"")"),0)</f>
        <v>0</v>
      </c>
      <c r="J255" s="370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>
      <c r="A256" s="361"/>
      <c r="B256" s="362"/>
      <c r="C256" s="362"/>
      <c r="D256" s="371" t="s">
        <v>43</v>
      </c>
      <c r="E256" s="372"/>
      <c r="F256" s="372"/>
      <c r="G256" s="368"/>
      <c r="H256" s="369"/>
      <c r="I256" s="610"/>
      <c r="J256" s="610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>
      <c r="A257" s="361"/>
      <c r="B257" s="362"/>
      <c r="C257" s="362"/>
      <c r="D257" s="362"/>
      <c r="E257" s="373" t="s">
        <v>118</v>
      </c>
      <c r="F257" s="372"/>
      <c r="G257" s="368"/>
      <c r="H257" s="369" t="s">
        <v>35</v>
      </c>
      <c r="I257" s="610"/>
      <c r="J257" s="370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>
      <c r="A258" s="361"/>
      <c r="B258" s="362"/>
      <c r="C258" s="362"/>
      <c r="D258" s="362"/>
      <c r="E258" s="373" t="s">
        <v>119</v>
      </c>
      <c r="F258" s="372"/>
      <c r="G258" s="368"/>
      <c r="H258" s="369" t="s">
        <v>69</v>
      </c>
      <c r="I258" s="610"/>
      <c r="J258" s="370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24</v>
      </c>
      <c r="J260" s="252">
        <f t="shared" si="115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28800</v>
      </c>
      <c r="M264" s="496">
        <f t="shared" ca="1" si="120"/>
        <v>25800</v>
      </c>
      <c r="N264" s="496">
        <f t="shared" ca="1" si="120"/>
        <v>0</v>
      </c>
      <c r="O264" s="496">
        <f t="shared" ca="1" si="117"/>
        <v>0</v>
      </c>
      <c r="P264" s="496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IFERROR(__xludf.DUMMYFUNCTION("IMPORTRANGE(""https://docs.google.com/spreadsheets/d/1MeEWN-I1oV_STSDYn1IFDPWt_1FKiwhDph83XaGc0o0/edit?usp=sharing"",""งบพรบ!DD51"")"),25800)</f>
        <v>25800</v>
      </c>
      <c r="N266" s="93">
        <f ca="1">IFERROR(__xludf.DUMMYFUNCTION("IMPORTRANGE(""https://docs.google.com/spreadsheets/d/1MeEWN-I1oV_STSDYn1IFDPWt_1FKiwhDph83XaGc0o0/edit?usp=sharing"",""งบพรบ!DF51"")"),0)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IFERROR(__xludf.DUMMYFUNCTION("IMPORTRANGE(""https://docs.google.com/spreadsheets/d/1QqKyyYR6Q21VydFLVH3TRQUabQu_ym0Zz7PgGX0-kHA/edit?usp=sharing"",""แผน!EA51"")"),24)</f>
        <v>24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20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4">I287</f>
        <v>200</v>
      </c>
      <c r="J276" s="854">
        <f t="shared" si="124"/>
        <v>0</v>
      </c>
      <c r="K276" s="407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75640</v>
      </c>
      <c r="M277" s="155">
        <f t="shared" ca="1" si="125"/>
        <v>31640</v>
      </c>
      <c r="N277" s="155">
        <f t="shared" ca="1" si="125"/>
        <v>18540</v>
      </c>
      <c r="O277" s="155">
        <f t="shared" ref="O277:O285" ca="1" si="126">IF(L277&gt;0,N277*100/L277,0)</f>
        <v>24.51084082496034</v>
      </c>
      <c r="P277" s="155">
        <f t="shared" ref="P277:P285" ca="1" si="127">IF(M277&gt;0,N277*100/M277,0)</f>
        <v>58.59671302149178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75640</v>
      </c>
      <c r="M279" s="93">
        <f t="shared" ca="1" si="128"/>
        <v>31640</v>
      </c>
      <c r="N279" s="93">
        <f t="shared" ca="1" si="128"/>
        <v>18540</v>
      </c>
      <c r="O279" s="93">
        <f t="shared" ca="1" si="126"/>
        <v>24.51084082496034</v>
      </c>
      <c r="P279" s="93">
        <f t="shared" ca="1" si="127"/>
        <v>58.59671302149178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75640</v>
      </c>
      <c r="M280" s="496">
        <f t="shared" ca="1" si="129"/>
        <v>31640</v>
      </c>
      <c r="N280" s="496">
        <f t="shared" ca="1" si="129"/>
        <v>18540</v>
      </c>
      <c r="O280" s="496">
        <f t="shared" ca="1" si="126"/>
        <v>24.51084082496034</v>
      </c>
      <c r="P280" s="496">
        <f t="shared" ca="1" si="127"/>
        <v>58.59671302149178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IFERROR(__xludf.DUMMYFUNCTION("IMPORTRANGE(""https://docs.google.com/spreadsheets/d/1MeEWN-I1oV_STSDYn1IFDPWt_1FKiwhDph83XaGc0o0/edit?usp=sharing"",""งบพรบ!DN51"")"),31640)</f>
        <v>31640</v>
      </c>
      <c r="N282" s="93">
        <f ca="1">IFERROR(__xludf.DUMMYFUNCTION("IMPORTRANGE(""https://docs.google.com/spreadsheets/d/1MeEWN-I1oV_STSDYn1IFDPWt_1FKiwhDph83XaGc0o0/edit?usp=sharing"",""งบพรบ!DP51"")"),18540)</f>
        <v>18540</v>
      </c>
      <c r="O282" s="93">
        <f t="shared" ca="1" si="126"/>
        <v>24.51084082496034</v>
      </c>
      <c r="P282" s="93">
        <f t="shared" ca="1" si="127"/>
        <v>58.59671302149178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IFERROR(__xludf.DUMMYFUNCTION("IMPORTRANGE(""https://docs.google.com/spreadsheets/d/1QqKyyYR6Q21VydFLVH3TRQUabQu_ym0Zz7PgGX0-kHA/edit?usp=sharing"",""แผน!EC51"")"),200)</f>
        <v>200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IFERROR(__xludf.DUMMYFUNCTION("IMPORTRANGE(""https://docs.google.com/spreadsheets/d/1QqKyyYR6Q21VydFLVH3TRQUabQu_ym0Zz7PgGX0-kHA/edit?usp=sharing"",""แผน!EB51"")"),20)</f>
        <v>20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IFERROR(__xludf.DUMMYFUNCTION("IMPORTRANGE(""https://docs.google.com/spreadsheets/d/1QqKyyYR6Q21VydFLVH3TRQUabQu_ym0Zz7PgGX0-kHA/edit?usp=sharing"",""แผน!EB51"")"),20)</f>
        <v>20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20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368400</v>
      </c>
      <c r="M298" s="155">
        <f t="shared" ca="1" si="135"/>
        <v>179120</v>
      </c>
      <c r="N298" s="155">
        <f t="shared" ca="1" si="135"/>
        <v>42532</v>
      </c>
      <c r="O298" s="155">
        <f t="shared" ref="O298:O306" ca="1" si="136">IF(L298&gt;0,N298*100/L298,0)</f>
        <v>11.545059717698154</v>
      </c>
      <c r="P298" s="155">
        <f t="shared" ref="P298:P306" ca="1" si="137">IF(M298&gt;0,N298*100/M298,0)</f>
        <v>23.744975435462258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368400</v>
      </c>
      <c r="M300" s="93">
        <f t="shared" ca="1" si="138"/>
        <v>179120</v>
      </c>
      <c r="N300" s="93">
        <f t="shared" ca="1" si="138"/>
        <v>42532</v>
      </c>
      <c r="O300" s="93">
        <f t="shared" ca="1" si="136"/>
        <v>11.545059717698154</v>
      </c>
      <c r="P300" s="93">
        <f t="shared" ca="1" si="137"/>
        <v>23.744975435462258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368400</v>
      </c>
      <c r="M301" s="496">
        <f t="shared" ca="1" si="139"/>
        <v>179120</v>
      </c>
      <c r="N301" s="496">
        <f t="shared" ca="1" si="139"/>
        <v>42532</v>
      </c>
      <c r="O301" s="496">
        <f t="shared" ca="1" si="136"/>
        <v>11.545059717698154</v>
      </c>
      <c r="P301" s="496">
        <f t="shared" ca="1" si="137"/>
        <v>23.744975435462258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IFERROR(__xludf.DUMMYFUNCTION("IMPORTRANGE(""https://docs.google.com/spreadsheets/d/1MeEWN-I1oV_STSDYn1IFDPWt_1FKiwhDph83XaGc0o0/edit?usp=sharing"",""งบพรบ!DX51"")"),179120)</f>
        <v>179120</v>
      </c>
      <c r="N303" s="93">
        <f ca="1">IFERROR(__xludf.DUMMYFUNCTION("IMPORTRANGE(""https://docs.google.com/spreadsheets/d/1MeEWN-I1oV_STSDYn1IFDPWt_1FKiwhDph83XaGc0o0/edit?usp=sharing"",""งบพรบ!DZ51"")"),42532)</f>
        <v>42532</v>
      </c>
      <c r="O303" s="93">
        <f t="shared" ca="1" si="136"/>
        <v>11.545059717698154</v>
      </c>
      <c r="P303" s="93">
        <f t="shared" ca="1" si="137"/>
        <v>23.744975435462258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IFERROR(__xludf.DUMMYFUNCTION("IMPORTRANGE(""https://docs.google.com/spreadsheets/d/1QqKyyYR6Q21VydFLVH3TRQUabQu_ym0Zz7PgGX0-kHA/edit?usp=sharing"",""แผน!ED51"")"),20)</f>
        <v>20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IFERROR(__xludf.DUMMYFUNCTION("IMPORTRANGE(""https://docs.google.com/spreadsheets/d/1QqKyyYR6Q21VydFLVH3TRQUabQu_ym0Zz7PgGX0-kHA/edit?usp=sharing"",""แผน!ED51"")"),20)</f>
        <v>20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IFERROR(__xludf.DUMMYFUNCTION("IMPORTRANGE(""https://docs.google.com/spreadsheets/d/1QqKyyYR6Q21VydFLVH3TRQUabQu_ym0Zz7PgGX0-kHA/edit?usp=sharing"",""แผน!ED51"")"),20)</f>
        <v>20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IFERROR(__xludf.DUMMYFUNCTION("IMPORTRANGE(""https://docs.google.com/spreadsheets/d/1QqKyyYR6Q21VydFLVH3TRQUabQu_ym0Zz7PgGX0-kHA/edit?usp=sharing"",""แผน!EE51"")"),4)</f>
        <v>4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0</v>
      </c>
      <c r="J314" s="443">
        <f t="shared" si="142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0</v>
      </c>
      <c r="M318" s="496">
        <f t="shared" ca="1" si="147"/>
        <v>0</v>
      </c>
      <c r="N318" s="496">
        <f t="shared" ca="1" si="147"/>
        <v>0</v>
      </c>
      <c r="O318" s="496">
        <f t="shared" ca="1" si="144"/>
        <v>0</v>
      </c>
      <c r="P318" s="496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IFERROR(__xludf.DUMMYFUNCTION("IMPORTRANGE(""https://docs.google.com/spreadsheets/d/1QqKyyYR6Q21VydFLVH3TRQUabQu_ym0Zz7PgGX0-kHA/edit?usp=sharing"",""แผน!EF51"")"),0)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IFERROR(__xludf.DUMMYFUNCTION("IMPORTRANGE(""https://docs.google.com/spreadsheets/d/1QqKyyYR6Q21VydFLVH3TRQUabQu_ym0Zz7PgGX0-kHA/edit?usp=sharing"",""แผน!EG51"")"),6500)</f>
        <v>6500</v>
      </c>
      <c r="J327" s="443">
        <f ca="1">J338+J341+J342+J343</f>
        <v>1847</v>
      </c>
      <c r="K327" s="444">
        <f ca="1">IF(I327&gt;0,J327*100/I327,0)</f>
        <v>28.415384615384614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188000</v>
      </c>
      <c r="M328" s="155">
        <f t="shared" ca="1" si="149"/>
        <v>94000</v>
      </c>
      <c r="N328" s="155">
        <f t="shared" ca="1" si="149"/>
        <v>30778.799999999999</v>
      </c>
      <c r="O328" s="155">
        <f t="shared" ref="O328:O336" ca="1" si="150">IF(L328&gt;0,N328*100/L328,0)</f>
        <v>16.371702127659574</v>
      </c>
      <c r="P328" s="155">
        <f t="shared" ref="P328:P336" ca="1" si="151">IF(M328&gt;0,N328*100/M328,0)</f>
        <v>32.743404255319149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188000</v>
      </c>
      <c r="M330" s="93">
        <f t="shared" ca="1" si="152"/>
        <v>94000</v>
      </c>
      <c r="N330" s="93">
        <f t="shared" ca="1" si="152"/>
        <v>30778.799999999999</v>
      </c>
      <c r="O330" s="93">
        <f t="shared" ca="1" si="150"/>
        <v>16.371702127659574</v>
      </c>
      <c r="P330" s="93">
        <f t="shared" ca="1" si="151"/>
        <v>32.743404255319149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188000</v>
      </c>
      <c r="M331" s="496">
        <f t="shared" ca="1" si="153"/>
        <v>94000</v>
      </c>
      <c r="N331" s="496">
        <f t="shared" ca="1" si="153"/>
        <v>30778.799999999999</v>
      </c>
      <c r="O331" s="496">
        <f t="shared" ca="1" si="150"/>
        <v>16.371702127659574</v>
      </c>
      <c r="P331" s="496">
        <f t="shared" ca="1" si="151"/>
        <v>32.743404255319149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IFERROR(__xludf.DUMMYFUNCTION("IMPORTRANGE(""https://docs.google.com/spreadsheets/d/1MeEWN-I1oV_STSDYn1IFDPWt_1FKiwhDph83XaGc0o0/edit?usp=sharing"",""งบพรบ!ER51"")"),94000)</f>
        <v>94000</v>
      </c>
      <c r="N333" s="93">
        <f ca="1">IFERROR(__xludf.DUMMYFUNCTION("IMPORTRANGE(""https://docs.google.com/spreadsheets/d/1MeEWN-I1oV_STSDYn1IFDPWt_1FKiwhDph83XaGc0o0/edit?usp=sharing"",""งบพรบ!ET51"")"),30778.8)</f>
        <v>30778.799999999999</v>
      </c>
      <c r="O333" s="93">
        <f t="shared" ca="1" si="150"/>
        <v>16.371702127659574</v>
      </c>
      <c r="P333" s="93">
        <f t="shared" ca="1" si="151"/>
        <v>32.743404255319149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IFERROR(__xludf.DUMMYFUNCTION("IMPORTRANGE(""https://docs.google.com/spreadsheets/d/1QqKyyYR6Q21VydFLVH3TRQUabQu_ym0Zz7PgGX0-kHA/edit?usp=sharing"",""แผน!EG51"")"),6500)</f>
        <v>6500</v>
      </c>
      <c r="J338" s="269">
        <f ca="1">IFERROR(__xludf.DUMMYFUNCTION("IMPORTRANGE(""https://docs.google.com/spreadsheets/d/1kVcqe37tkHyjCSG3S0O1AXqVkqjo8mSIZil3BcpIysc/edit?usp=sharing"",""ศูนย์!D51"")"),1739)</f>
        <v>1739</v>
      </c>
      <c r="K338" s="496">
        <f ca="1">IF(I338&gt;0,J338*100/I338,0)</f>
        <v>26.753846153846155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IFERROR(__xludf.DUMMYFUNCTION("IMPORTRANGE(""https://docs.google.com/spreadsheets/d/1QqKyyYR6Q21VydFLVH3TRQUabQu_ym0Zz7PgGX0-kHA/edit?usp=sharing"",""แผน!EH51"")"),10)</f>
        <v>10</v>
      </c>
      <c r="J340" s="269">
        <f ca="1">IFERROR(__xludf.DUMMYFUNCTION("IMPORTRANGE(""https://docs.google.com/spreadsheets/d/1kVcqe37tkHyjCSG3S0O1AXqVkqjo8mSIZil3BcpIysc/edit?usp=sharing"",""ศูนย์!E51"")"),0)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IFERROR(__xludf.DUMMYFUNCTION("IMPORTRANGE(""https://docs.google.com/spreadsheets/d/1kVcqe37tkHyjCSG3S0O1AXqVkqjo8mSIZil3BcpIysc/edit?usp=sharing"",""ศูนย์!F51"")"),0)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IFERROR(__xludf.DUMMYFUNCTION("IMPORTRANGE(""https://docs.google.com/spreadsheets/d/1kVcqe37tkHyjCSG3S0O1AXqVkqjo8mSIZil3BcpIysc/edit?usp=sharing"",""ศูนย์!G51"")"),0)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IFERROR(__xludf.DUMMYFUNCTION("IMPORTRANGE(""https://docs.google.com/spreadsheets/d/1kVcqe37tkHyjCSG3S0O1AXqVkqjo8mSIZil3BcpIysc/edit?usp=sharing"",""ศูนย์!H51"")"),108)</f>
        <v>108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2256200</v>
      </c>
      <c r="M345" s="155">
        <f t="shared" ca="1" si="155"/>
        <v>1166100</v>
      </c>
      <c r="N345" s="155">
        <f t="shared" ca="1" si="155"/>
        <v>502823.05</v>
      </c>
      <c r="O345" s="155">
        <f t="shared" ref="O345:O353" ca="1" si="156">IF(L345&gt;0,N345*100/L345,0)</f>
        <v>22.286280028366278</v>
      </c>
      <c r="P345" s="155">
        <f t="shared" ref="P345:P353" ca="1" si="157">IF(M345&gt;0,N345*100/M345,0)</f>
        <v>43.12006260183518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2256200</v>
      </c>
      <c r="M347" s="93">
        <f t="shared" ca="1" si="158"/>
        <v>1166100</v>
      </c>
      <c r="N347" s="93">
        <f t="shared" ca="1" si="158"/>
        <v>502823.05</v>
      </c>
      <c r="O347" s="93">
        <f t="shared" ca="1" si="156"/>
        <v>22.286280028366278</v>
      </c>
      <c r="P347" s="93">
        <f t="shared" ca="1" si="157"/>
        <v>43.12006260183518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2180200</v>
      </c>
      <c r="M348" s="496">
        <f t="shared" ca="1" si="159"/>
        <v>1090100</v>
      </c>
      <c r="N348" s="496">
        <f t="shared" ca="1" si="159"/>
        <v>426823.05</v>
      </c>
      <c r="O348" s="496">
        <f t="shared" ca="1" si="156"/>
        <v>19.577242913494175</v>
      </c>
      <c r="P348" s="496">
        <f t="shared" ca="1" si="157"/>
        <v>39.154485826988349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IFERROR(__xludf.DUMMYFUNCTION("IMPORTRANGE(""https://docs.google.com/spreadsheets/d/1MeEWN-I1oV_STSDYn1IFDPWt_1FKiwhDph83XaGc0o0/edit?usp=sharing"",""งบพรบ!FB51"")"),1090100)</f>
        <v>1090100</v>
      </c>
      <c r="N350" s="93">
        <f ca="1">IFERROR(__xludf.DUMMYFUNCTION("IMPORTRANGE(""https://docs.google.com/spreadsheets/d/1MeEWN-I1oV_STSDYn1IFDPWt_1FKiwhDph83XaGc0o0/edit?usp=sharing"",""งบพรบ!FD51"")"),426823.05)</f>
        <v>426823.05</v>
      </c>
      <c r="O350" s="93">
        <f t="shared" ca="1" si="156"/>
        <v>19.577242913494175</v>
      </c>
      <c r="P350" s="93">
        <f t="shared" ca="1" si="157"/>
        <v>39.154485826988349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76000</v>
      </c>
      <c r="M351" s="496">
        <f t="shared" ca="1" si="160"/>
        <v>76000</v>
      </c>
      <c r="N351" s="496">
        <f t="shared" ca="1" si="160"/>
        <v>76000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IFERROR(__xludf.DUMMYFUNCTION("IMPORTRANGE(""https://docs.google.com/spreadsheets/d/1MeEWN-I1oV_STSDYn1IFDPWt_1FKiwhDph83XaGc0o0/edit?usp=sharing"",""งบพรบ!FC51"")"),76000)</f>
        <v>76000</v>
      </c>
      <c r="N353" s="93">
        <f ca="1">IFERROR(__xludf.DUMMYFUNCTION("IMPORTRANGE(""https://docs.google.com/spreadsheets/d/1MeEWN-I1oV_STSDYn1IFDPWt_1FKiwhDph83XaGc0o0/edit?usp=sharing"",""งบพรบ!FE51"")"),76000)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IFERROR(__xludf.DUMMYFUNCTION("IMPORTRANGE(""https://docs.google.com/spreadsheets/d/1QqKyyYR6Q21VydFLVH3TRQUabQu_ym0Zz7PgGX0-kHA/edit?usp=sharing"",""แผน!EP51"")"),1300)</f>
        <v>1300</v>
      </c>
      <c r="J355" s="463">
        <f ca="1">J362</f>
        <v>12</v>
      </c>
      <c r="K355" s="464">
        <f ca="1">IF(I355&gt;0,J355*100/I355,0)</f>
        <v>0.92307692307692313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IFERROR(__xludf.DUMMYFUNCTION("IMPORTRANGE(""https://docs.google.com/spreadsheets/d/1XWAQStnk-4SwqDmLtmXYiTMKHgktTP8We1SCoS47DrQ/edit?usp=sharing"",""จัดที่ดิน!W51"")"),212)</f>
        <v>212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IFERROR(__xludf.DUMMYFUNCTION("IMPORTRANGE(""https://docs.google.com/spreadsheets/d/1QqKyyYR6Q21VydFLVH3TRQUabQu_ym0Zz7PgGX0-kHA/edit?usp=sharing"",""แผน!EO51"")"),13000)</f>
        <v>13000</v>
      </c>
      <c r="J359" s="269">
        <f ca="1">IFERROR(__xludf.DUMMYFUNCTION("IMPORTRANGE(""https://docs.google.com/spreadsheets/d/1XWAQStnk-4SwqDmLtmXYiTMKHgktTP8We1SCoS47DrQ/edit?usp=sharing"",""จัดที่ดิน!X51"")"),1782.01)</f>
        <v>1782.01</v>
      </c>
      <c r="K359" s="496">
        <f t="shared" ca="1" si="161"/>
        <v>13.70776923076923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IFERROR(__xludf.DUMMYFUNCTION("IMPORTRANGE(""https://docs.google.com/spreadsheets/d/1QqKyyYR6Q21VydFLVH3TRQUabQu_ym0Zz7PgGX0-kHA/edit?usp=sharing"",""แผน!EP51"")"),1300)</f>
        <v>1300</v>
      </c>
      <c r="J360" s="269">
        <f ca="1">IFERROR(__xludf.DUMMYFUNCTION("IMPORTRANGE(""https://docs.google.com/spreadsheets/d/1XWAQStnk-4SwqDmLtmXYiTMKHgktTP8We1SCoS47DrQ/edit?usp=sharing"",""จัดที่ดิน!Y51"")"),132)</f>
        <v>132</v>
      </c>
      <c r="K360" s="496">
        <f t="shared" ca="1" si="161"/>
        <v>10.153846153846153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IFERROR(__xludf.DUMMYFUNCTION("IMPORTRANGE(""https://docs.google.com/spreadsheets/d/1XWAQStnk-4SwqDmLtmXYiTMKHgktTP8We1SCoS47DrQ/edit?usp=sharing"",""จัดที่ดิน!Z51"")"),1220.9)</f>
        <v>1220.9000000000001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IFERROR(__xludf.DUMMYFUNCTION("IMPORTRANGE(""https://docs.google.com/spreadsheets/d/1QqKyyYR6Q21VydFLVH3TRQUabQu_ym0Zz7PgGX0-kHA/edit?usp=sharing"",""แผน!EP51"")"),1300)</f>
        <v>1300</v>
      </c>
      <c r="J362" s="269">
        <f ca="1">IFERROR(__xludf.DUMMYFUNCTION("IMPORTRANGE(""https://docs.google.com/spreadsheets/d/1XWAQStnk-4SwqDmLtmXYiTMKHgktTP8We1SCoS47DrQ/edit?usp=sharing"",""จัดที่ดิน!AA51"")"),12)</f>
        <v>12</v>
      </c>
      <c r="K362" s="496">
        <f t="shared" ca="1" si="161"/>
        <v>0.92307692307692313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IFERROR(__xludf.DUMMYFUNCTION("IMPORTRANGE(""https://docs.google.com/spreadsheets/d/1XWAQStnk-4SwqDmLtmXYiTMKHgktTP8We1SCoS47DrQ/edit?usp=sharing"",""จัดที่ดิน!AB51"")"),179.33)</f>
        <v>179.33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1500</v>
      </c>
      <c r="J364" s="477">
        <f t="shared" ca="1" si="162"/>
        <v>55</v>
      </c>
      <c r="K364" s="478">
        <f t="shared" ca="1" si="161"/>
        <v>3.6666666666666665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IFERROR(__xludf.DUMMYFUNCTION("IMPORTRANGE(""https://docs.google.com/spreadsheets/d/1QqKyyYR6Q21VydFLVH3TRQUabQu_ym0Zz7PgGX0-kHA/edit?usp=sharing"",""แผน!EJ51"")"),300)</f>
        <v>300</v>
      </c>
      <c r="J365" s="489">
        <f ca="1">J372</f>
        <v>0</v>
      </c>
      <c r="K365" s="490">
        <f t="shared" ca="1" si="161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IFERROR(__xludf.DUMMYFUNCTION("IMPORTRANGE(""https://docs.google.com/spreadsheets/d/1XWAQStnk-4SwqDmLtmXYiTMKHgktTP8We1SCoS47DrQ/edit?usp=sharing"",""จัดที่ดิน!E51"")"),116)</f>
        <v>116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IFERROR(__xludf.DUMMYFUNCTION("IMPORTRANGE(""https://docs.google.com/spreadsheets/d/1QqKyyYR6Q21VydFLVH3TRQUabQu_ym0Zz7PgGX0-kHA/edit?usp=sharing"",""แผน!EI51"")"),3000)</f>
        <v>3000</v>
      </c>
      <c r="J369" s="269">
        <f ca="1">IFERROR(__xludf.DUMMYFUNCTION("IMPORTRANGE(""https://docs.google.com/spreadsheets/d/1XWAQStnk-4SwqDmLtmXYiTMKHgktTP8We1SCoS47DrQ/edit?usp=sharing"",""จัดที่ดิน!F51"")"),858.16)</f>
        <v>858.16</v>
      </c>
      <c r="K369" s="496">
        <f t="shared" ca="1" si="163"/>
        <v>28.605333333333334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IFERROR(__xludf.DUMMYFUNCTION("IMPORTRANGE(""https://docs.google.com/spreadsheets/d/1QqKyyYR6Q21VydFLVH3TRQUabQu_ym0Zz7PgGX0-kHA/edit?usp=sharing"",""แผน!EJ51"")"),300)</f>
        <v>300</v>
      </c>
      <c r="J370" s="269">
        <f ca="1">IFERROR(__xludf.DUMMYFUNCTION("IMPORTRANGE(""https://docs.google.com/spreadsheets/d/1XWAQStnk-4SwqDmLtmXYiTMKHgktTP8We1SCoS47DrQ/edit?usp=sharing"",""จัดที่ดิน!G51"")"),36)</f>
        <v>36</v>
      </c>
      <c r="K370" s="496">
        <f t="shared" ca="1" si="163"/>
        <v>12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IFERROR(__xludf.DUMMYFUNCTION("IMPORTRANGE(""https://docs.google.com/spreadsheets/d/1XWAQStnk-4SwqDmLtmXYiTMKHgktTP8We1SCoS47DrQ/edit?usp=sharing"",""จัดที่ดิน!H51"")"),297.05)</f>
        <v>297.05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IFERROR(__xludf.DUMMYFUNCTION("IMPORTRANGE(""https://docs.google.com/spreadsheets/d/1QqKyyYR6Q21VydFLVH3TRQUabQu_ym0Zz7PgGX0-kHA/edit?usp=sharing"",""แผน!EJ51"")"),300)</f>
        <v>300</v>
      </c>
      <c r="J372" s="269">
        <f ca="1">IFERROR(__xludf.DUMMYFUNCTION("IMPORTRANGE(""https://docs.google.com/spreadsheets/d/1XWAQStnk-4SwqDmLtmXYiTMKHgktTP8We1SCoS47DrQ/edit?usp=sharing"",""จัดที่ดิน!I51"")"),0)</f>
        <v>0</v>
      </c>
      <c r="K372" s="496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IFERROR(__xludf.DUMMYFUNCTION("IMPORTRANGE(""https://docs.google.com/spreadsheets/d/1XWAQStnk-4SwqDmLtmXYiTMKHgktTP8We1SCoS47DrQ/edit?usp=sharing"",""จัดที่ดิน!J51"")"),0)</f>
        <v>0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IFERROR(__xludf.DUMMYFUNCTION("IMPORTRANGE(""https://docs.google.com/spreadsheets/d/1QqKyyYR6Q21VydFLVH3TRQUabQu_ym0Zz7PgGX0-kHA/edit?usp=sharing"",""แผน!EU51"")"),1200)</f>
        <v>1200</v>
      </c>
      <c r="J374" s="489">
        <f ca="1">J381</f>
        <v>55</v>
      </c>
      <c r="K374" s="490">
        <f t="shared" ca="1" si="163"/>
        <v>4.583333333333333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IFERROR(__xludf.DUMMYFUNCTION("IMPORTRANGE(""https://docs.google.com/spreadsheets/d/1XWAQStnk-4SwqDmLtmXYiTMKHgktTP8We1SCoS47DrQ/edit?usp=sharing"",""จัดที่ดิน!AH51"")"),96)</f>
        <v>96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IFERROR(__xludf.DUMMYFUNCTION("IMPORTRANGE(""https://docs.google.com/spreadsheets/d/1QqKyyYR6Q21VydFLVH3TRQUabQu_ym0Zz7PgGX0-kHA/edit?usp=sharing"",""แผน!ET51"")"),10000)</f>
        <v>10000</v>
      </c>
      <c r="J378" s="269">
        <f ca="1">IFERROR(__xludf.DUMMYFUNCTION("IMPORTRANGE(""https://docs.google.com/spreadsheets/d/1XWAQStnk-4SwqDmLtmXYiTMKHgktTP8We1SCoS47DrQ/edit?usp=sharing"",""จัดที่ดิน!AI51"")"),923.85)</f>
        <v>923.85</v>
      </c>
      <c r="K378" s="496">
        <f t="shared" ca="1" si="164"/>
        <v>9.2385000000000002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IFERROR(__xludf.DUMMYFUNCTION("IMPORTRANGE(""https://docs.google.com/spreadsheets/d/1QqKyyYR6Q21VydFLVH3TRQUabQu_ym0Zz7PgGX0-kHA/edit?usp=sharing"",""แผน!EU51"")"),1200)</f>
        <v>1200</v>
      </c>
      <c r="J379" s="269">
        <f ca="1">IFERROR(__xludf.DUMMYFUNCTION("IMPORTRANGE(""https://docs.google.com/spreadsheets/d/1XWAQStnk-4SwqDmLtmXYiTMKHgktTP8We1SCoS47DrQ/edit?usp=sharing"",""จัดที่ดิน!AJ51"")"),139)</f>
        <v>139</v>
      </c>
      <c r="K379" s="496">
        <f t="shared" ca="1" si="164"/>
        <v>11.583333333333334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IFERROR(__xludf.DUMMYFUNCTION("IMPORTRANGE(""https://docs.google.com/spreadsheets/d/1XWAQStnk-4SwqDmLtmXYiTMKHgktTP8We1SCoS47DrQ/edit?usp=sharing"",""จัดที่ดิน!AK51"")"),1394.34)</f>
        <v>1394.34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IFERROR(__xludf.DUMMYFUNCTION("IMPORTRANGE(""https://docs.google.com/spreadsheets/d/1QqKyyYR6Q21VydFLVH3TRQUabQu_ym0Zz7PgGX0-kHA/edit?usp=sharing"",""แผน!EU51"")"),1200)</f>
        <v>1200</v>
      </c>
      <c r="J381" s="269">
        <f ca="1">IFERROR(__xludf.DUMMYFUNCTION("IMPORTRANGE(""https://docs.google.com/spreadsheets/d/1XWAQStnk-4SwqDmLtmXYiTMKHgktTP8We1SCoS47DrQ/edit?usp=sharing"",""จัดที่ดิน!AL51"")"),55)</f>
        <v>55</v>
      </c>
      <c r="K381" s="496">
        <f t="shared" ca="1" si="164"/>
        <v>4.583333333333333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IFERROR(__xludf.DUMMYFUNCTION("IMPORTRANGE(""https://docs.google.com/spreadsheets/d/1XWAQStnk-4SwqDmLtmXYiTMKHgktTP8We1SCoS47DrQ/edit?usp=sharing"",""จัดที่ดิน!AM51"")"),649.83)</f>
        <v>649.83000000000004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IFERROR(__xludf.DUMMYFUNCTION("IMPORTRANGE(""https://docs.google.com/spreadsheets/d/1QqKyyYR6Q21VydFLVH3TRQUabQu_ym0Zz7PgGX0-kHA/edit?usp=sharing"",""แผน!EW51"")"),70)</f>
        <v>70</v>
      </c>
      <c r="J385" s="499">
        <f ca="1">IFERROR(__xludf.DUMMYFUNCTION("IMPORTRANGE(""https://docs.google.com/spreadsheets/d/1XWAQStnk-4SwqDmLtmXYiTMKHgktTP8We1SCoS47DrQ/edit?usp=sharing"",""จัดที่ดิน!AP51"")"),0)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3263362</v>
      </c>
      <c r="M414" s="547">
        <f t="shared" si="181"/>
        <v>0</v>
      </c>
      <c r="N414" s="547">
        <f t="shared" si="181"/>
        <v>406820.43</v>
      </c>
      <c r="O414" s="547">
        <f ca="1">IF(L414&gt;0,N414*100/L414,0)</f>
        <v>12.466297946718752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35</v>
      </c>
      <c r="J417" s="563">
        <f t="shared" ca="1" si="182"/>
        <v>35</v>
      </c>
      <c r="K417" s="564">
        <f t="shared" ref="K417:K418" ca="1" si="183">IF(I417&gt;0,J417*100/I417,0)</f>
        <v>100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1</v>
      </c>
      <c r="J418" s="563">
        <f t="shared" si="182"/>
        <v>1</v>
      </c>
      <c r="K418" s="564">
        <f t="shared" ca="1" si="183"/>
        <v>100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115060</v>
      </c>
      <c r="M419" s="155">
        <f t="shared" si="184"/>
        <v>0</v>
      </c>
      <c r="N419" s="155">
        <f t="shared" si="184"/>
        <v>77400</v>
      </c>
      <c r="O419" s="155">
        <f t="shared" ref="O419:O424" ca="1" si="185">IF(L419&gt;0,N419*100/L419,0)</f>
        <v>67.269250825656172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115060</v>
      </c>
      <c r="M421" s="93">
        <f t="shared" si="187"/>
        <v>0</v>
      </c>
      <c r="N421" s="93">
        <f t="shared" si="187"/>
        <v>77400</v>
      </c>
      <c r="O421" s="93">
        <f t="shared" ca="1" si="185"/>
        <v>67.269250825656172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115060</v>
      </c>
      <c r="M422" s="496">
        <f t="shared" si="188"/>
        <v>0</v>
      </c>
      <c r="N422" s="496">
        <f t="shared" si="188"/>
        <v>77400</v>
      </c>
      <c r="O422" s="496">
        <f t="shared" ca="1" si="185"/>
        <v>67.269250825656172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v>0</v>
      </c>
      <c r="N424" s="93">
        <f>N425+N426+N427+N428</f>
        <v>77400</v>
      </c>
      <c r="O424" s="93">
        <f t="shared" ca="1" si="185"/>
        <v>67.269250825656172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77400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35</v>
      </c>
      <c r="J433" s="674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1</v>
      </c>
      <c r="J434" s="674">
        <f t="shared" si="193"/>
        <v>1</v>
      </c>
      <c r="K434" s="195">
        <f t="shared" ca="1" si="192"/>
        <v>100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IFERROR(__xludf.DUMMYFUNCTION("IMPORTRANGE(""https://docs.google.com/spreadsheets/d/1QqKyyYR6Q21VydFLVH3TRQUabQu_ym0Zz7PgGX0-kHA/edit?usp=sharing"",""แผน!FC51"")"),35)</f>
        <v>35</v>
      </c>
      <c r="J435" s="577">
        <v>35</v>
      </c>
      <c r="K435" s="496">
        <f t="shared" ca="1" si="192"/>
        <v>100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IFERROR(__xludf.DUMMYFUNCTION("IMPORTRANGE(""https://docs.google.com/spreadsheets/d/1QqKyyYR6Q21VydFLVH3TRQUabQu_ym0Zz7PgGX0-kHA/edit?usp=sharing"",""แผน!FD51"")"),0)</f>
        <v>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IFERROR(__xludf.DUMMYFUNCTION("IMPORTRANGE(""https://docs.google.com/spreadsheets/d/1QqKyyYR6Q21VydFLVH3TRQUabQu_ym0Zz7PgGX0-kHA/edit?usp=sharing"",""แผน!FE51"")"),0)</f>
        <v>0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IFERROR(__xludf.DUMMYFUNCTION("IMPORTRANGE(""https://docs.google.com/spreadsheets/d/1QqKyyYR6Q21VydFLVH3TRQUabQu_ym0Zz7PgGX0-kHA/edit?usp=sharing"",""แผน!FF51"")"),35)</f>
        <v>35</v>
      </c>
      <c r="J439" s="577">
        <v>35</v>
      </c>
      <c r="K439" s="496">
        <f t="shared" ca="1" si="194"/>
        <v>100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IFERROR(__xludf.DUMMYFUNCTION("IMPORTRANGE(""https://docs.google.com/spreadsheets/d/1QqKyyYR6Q21VydFLVH3TRQUabQu_ym0Zz7PgGX0-kHA/edit?usp=sharing"",""แผน!FG51"")"),1)</f>
        <v>1</v>
      </c>
      <c r="J440" s="214">
        <v>1</v>
      </c>
      <c r="K440" s="496">
        <f t="shared" ca="1" si="194"/>
        <v>100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IFERROR(__xludf.DUMMYFUNCTION("IMPORTRANGE(""https://docs.google.com/spreadsheets/d/1QqKyyYR6Q21VydFLVH3TRQUabQu_ym0Zz7PgGX0-kHA/edit?usp=sharing"",""แผน!FH51"")"),0)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90</v>
      </c>
      <c r="J442" s="583">
        <f t="shared" si="195"/>
        <v>0</v>
      </c>
      <c r="K442" s="584">
        <f t="shared" ca="1" si="194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300</v>
      </c>
      <c r="J443" s="563">
        <f t="shared" si="196"/>
        <v>0</v>
      </c>
      <c r="K443" s="564">
        <f t="shared" ca="1" si="194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604000</v>
      </c>
      <c r="M444" s="195">
        <f t="shared" si="197"/>
        <v>0</v>
      </c>
      <c r="N444" s="195">
        <f t="shared" si="197"/>
        <v>122880</v>
      </c>
      <c r="O444" s="195">
        <f t="shared" ref="O444:O449" ca="1" si="198">IF(L444&gt;0,N444*100/L444,0)</f>
        <v>20.344370860927153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604000</v>
      </c>
      <c r="M446" s="93">
        <f t="shared" si="200"/>
        <v>0</v>
      </c>
      <c r="N446" s="93">
        <f t="shared" si="200"/>
        <v>122880</v>
      </c>
      <c r="O446" s="93">
        <f t="shared" ca="1" si="198"/>
        <v>20.344370860927153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604000</v>
      </c>
      <c r="M447" s="496">
        <f t="shared" si="201"/>
        <v>0</v>
      </c>
      <c r="N447" s="496">
        <f t="shared" si="201"/>
        <v>122880</v>
      </c>
      <c r="O447" s="496">
        <f t="shared" ca="1" si="198"/>
        <v>20.344370860927153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v>0</v>
      </c>
      <c r="N449" s="93">
        <f>N450+N451+N452+N453</f>
        <v>122880</v>
      </c>
      <c r="O449" s="93">
        <f t="shared" ca="1" si="198"/>
        <v>20.344370860927153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109880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13000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IFERROR(__xludf.DUMMYFUNCTION("IMPORTRANGE(""https://docs.google.com/spreadsheets/d/1QqKyyYR6Q21VydFLVH3TRQUabQu_ym0Zz7PgGX0-kHA/edit?usp=sharing"",""แผน!FN51"")"),90)</f>
        <v>90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IFERROR(__xludf.DUMMYFUNCTION("IMPORTRANGE(""https://docs.google.com/spreadsheets/d/1QqKyyYR6Q21VydFLVH3TRQUabQu_ym0Zz7PgGX0-kHA/edit?usp=sharing"",""แผน!FO51"")"),300)</f>
        <v>300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IFERROR(__xludf.DUMMYFUNCTION("IMPORTRANGE(""https://docs.google.com/spreadsheets/d/1QqKyyYR6Q21VydFLVH3TRQUabQu_ym0Zz7PgGX0-kHA/edit?usp=sharing"",""แผน!FO51"")"),300)</f>
        <v>300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IFERROR(__xludf.DUMMYFUNCTION("IMPORTRANGE(""https://docs.google.com/spreadsheets/d/1QqKyyYR6Q21VydFLVH3TRQUabQu_ym0Zz7PgGX0-kHA/edit?usp=sharing"",""แผน!FN51"")"),90)</f>
        <v>90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IFERROR(__xludf.DUMMYFUNCTION("IMPORTRANGE(""https://docs.google.com/spreadsheets/d/1QqKyyYR6Q21VydFLVH3TRQUabQu_ym0Zz7PgGX0-kHA/edit?usp=sharing"",""แผน!FX51"")"),131)</f>
        <v>131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IFERROR(__xludf.DUMMYFUNCTION("IMPORTRANGE(""https://docs.google.com/spreadsheets/d/1QqKyyYR6Q21VydFLVH3TRQUabQu_ym0Zz7PgGX0-kHA/edit?usp=sharing"",""แผน!FW51"")"),1300)</f>
        <v>1300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1161548</v>
      </c>
      <c r="M467" s="195">
        <f t="shared" si="206"/>
        <v>0</v>
      </c>
      <c r="N467" s="195">
        <f t="shared" si="206"/>
        <v>76720</v>
      </c>
      <c r="O467" s="195">
        <f t="shared" ref="O467:O472" ca="1" si="207">IF(L467&gt;0,N467*100/L467,0)</f>
        <v>6.6049788730211754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1161548</v>
      </c>
      <c r="M469" s="93">
        <f t="shared" si="209"/>
        <v>0</v>
      </c>
      <c r="N469" s="93">
        <f t="shared" si="209"/>
        <v>76720</v>
      </c>
      <c r="O469" s="93">
        <f t="shared" ca="1" si="207"/>
        <v>6.6049788730211754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1161548</v>
      </c>
      <c r="M470" s="496">
        <f t="shared" si="210"/>
        <v>0</v>
      </c>
      <c r="N470" s="496">
        <f t="shared" si="210"/>
        <v>76720</v>
      </c>
      <c r="O470" s="496">
        <f t="shared" ca="1" si="207"/>
        <v>6.6049788730211754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IFERROR(__xludf.DUMMYFUNCTION("IMPORTRANGE(""https://docs.google.com/spreadsheets/d/1QqKyyYR6Q21VydFLVH3TRQUabQu_ym0Zz7PgGX0-kHA/edit?usp=sharing"",""แผน!FS51"")"),1161548)</f>
        <v>1161548</v>
      </c>
      <c r="M472" s="93">
        <v>0</v>
      </c>
      <c r="N472" s="93">
        <f>N473+N474+N475+N476</f>
        <v>76720</v>
      </c>
      <c r="O472" s="93">
        <f t="shared" ca="1" si="207"/>
        <v>6.6049788730211754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63720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13000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IFERROR(__xludf.DUMMYFUNCTION("IMPORTRANGE(""https://docs.google.com/spreadsheets/d/1QqKyyYR6Q21VydFLVH3TRQUabQu_ym0Zz7PgGX0-kHA/edit?usp=sharing"",""แผน!FY51"")"),1170)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IFERROR(__xludf.DUMMYFUNCTION("IMPORTRANGE(""https://docs.google.com/spreadsheets/d/1QqKyyYR6Q21VydFLVH3TRQUabQu_ym0Zz7PgGX0-kHA/edit?usp=sharing"",""แผน!FZ51"")"),117)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IFERROR(__xludf.DUMMYFUNCTION("IMPORTRANGE(""https://docs.google.com/spreadsheets/d/1QqKyyYR6Q21VydFLVH3TRQUabQu_ym0Zz7PgGX0-kHA/edit?usp=sharing"",""แผน!GA51"")"),130)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IFERROR(__xludf.DUMMYFUNCTION("IMPORTRANGE(""https://docs.google.com/spreadsheets/d/1QqKyyYR6Q21VydFLVH3TRQUabQu_ym0Zz7PgGX0-kHA/edit?usp=sharing"",""แผน!GB51"")"),13)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IFERROR(__xludf.DUMMYFUNCTION("IMPORTRANGE(""https://docs.google.com/spreadsheets/d/1QqKyyYR6Q21VydFLVH3TRQUabQu_ym0Zz7PgGX0-kHA/edit?usp=sharing"",""แผน!GC51"")"),1)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IFERROR(__xludf.DUMMYFUNCTION("IMPORTRANGE(""https://docs.google.com/spreadsheets/d/1QqKyyYR6Q21VydFLVH3TRQUabQu_ym0Zz7PgGX0-kHA/edit?usp=sharing"",""แผน!FY51"")"),1170)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IFERROR(__xludf.DUMMYFUNCTION("IMPORTRANGE(""https://docs.google.com/spreadsheets/d/1QqKyyYR6Q21VydFLVH3TRQUabQu_ym0Zz7PgGX0-kHA/edit?usp=sharing"",""แผน!GA51"")"),130)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 hidden="1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0</v>
      </c>
      <c r="M526" s="496">
        <f t="shared" si="230"/>
        <v>0</v>
      </c>
      <c r="N526" s="496">
        <f t="shared" si="230"/>
        <v>0</v>
      </c>
      <c r="O526" s="496">
        <f t="shared" ca="1" si="227"/>
        <v>0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IFERROR(__xludf.DUMMYFUNCTION("IMPORTRANGE(""https://docs.google.com/spreadsheets/d/1QqKyyYR6Q21VydFLVH3TRQUabQu_ym0Zz7PgGX0-kHA/edit?usp=sharing"",""แผน!GU51"")"),0)</f>
        <v>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IFERROR(__xludf.DUMMYFUNCTION("IMPORTRANGE(""https://docs.google.com/spreadsheets/d/1QqKyyYR6Q21VydFLVH3TRQUabQu_ym0Zz7PgGX0-kHA/edit?usp=sharing"",""แผน!GV51"")"),0)</f>
        <v>0</v>
      </c>
      <c r="J538" s="214">
        <v>0</v>
      </c>
      <c r="K538" s="496">
        <f t="shared" ca="1" si="234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IFERROR(__xludf.DUMMYFUNCTION("IMPORTRANGE(""https://docs.google.com/spreadsheets/d/1QqKyyYR6Q21VydFLVH3TRQUabQu_ym0Zz7PgGX0-kHA/edit?usp=sharing"",""แผน!GW51"")"),0)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IFERROR(__xludf.DUMMYFUNCTION("IMPORTRANGE(""https://docs.google.com/spreadsheets/d/1QqKyyYR6Q21VydFLVH3TRQUabQu_ym0Zz7PgGX0-kHA/edit?usp=sharing"",""แผน!GX51"")"),0)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IFERROR(__xludf.DUMMYFUNCTION("IMPORTRANGE(""https://docs.google.com/spreadsheets/d/1QqKyyYR6Q21VydFLVH3TRQUabQu_ym0Zz7PgGX0-kHA/edit?usp=sharing"",""แผน!GY51"")"),0)</f>
        <v>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IFERROR(__xludf.DUMMYFUNCTION("IMPORTRANGE(""https://docs.google.com/spreadsheets/d/1QqKyyYR6Q21VydFLVH3TRQUabQu_ym0Zz7PgGX0-kHA/edit?usp=sharing"",""แผน!GZ51"")"),0)</f>
        <v>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88522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512834</v>
      </c>
      <c r="M544" s="155">
        <f t="shared" si="236"/>
        <v>0</v>
      </c>
      <c r="N544" s="155">
        <f t="shared" si="236"/>
        <v>22010</v>
      </c>
      <c r="O544" s="155">
        <f t="shared" ref="O544:O549" ca="1" si="237">IF(L544&gt;0,N544*100/L544,0)</f>
        <v>4.2918371246836209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512834</v>
      </c>
      <c r="M546" s="93">
        <f t="shared" si="240"/>
        <v>0</v>
      </c>
      <c r="N546" s="93">
        <f t="shared" si="240"/>
        <v>22010</v>
      </c>
      <c r="O546" s="93">
        <f t="shared" ca="1" si="237"/>
        <v>4.2918371246836209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512834</v>
      </c>
      <c r="M547" s="496">
        <f t="shared" si="241"/>
        <v>0</v>
      </c>
      <c r="N547" s="496">
        <f t="shared" si="241"/>
        <v>22010</v>
      </c>
      <c r="O547" s="496">
        <f t="shared" ca="1" si="237"/>
        <v>4.2918371246836209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IFERROR(__xludf.DUMMYFUNCTION("IMPORTRANGE(""https://docs.google.com/spreadsheets/d/1QqKyyYR6Q21VydFLVH3TRQUabQu_ym0Zz7PgGX0-kHA/edit?usp=sharing"",""แผน!HB51"")"),512834)</f>
        <v>512834</v>
      </c>
      <c r="M549" s="93">
        <v>0</v>
      </c>
      <c r="N549" s="93">
        <f>N550+N551+N552+N553+N554</f>
        <v>22010</v>
      </c>
      <c r="O549" s="93">
        <f t="shared" ca="1" si="237"/>
        <v>4.2918371246836209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13000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9010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88522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IFERROR(__xludf.DUMMYFUNCTION("IMPORTRANGE(""https://docs.google.com/spreadsheets/d/1QqKyyYR6Q21VydFLVH3TRQUabQu_ym0Zz7PgGX0-kHA/edit?usp=sharing"",""แผน!HH51"")"),88522)</f>
        <v>88522</v>
      </c>
      <c r="J560" s="193">
        <f t="shared" ref="J560:J561" si="247">J562+J564+J566</f>
        <v>7301</v>
      </c>
      <c r="K560" s="410">
        <f t="shared" ca="1" si="246"/>
        <v>8.2476672465601766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716</v>
      </c>
      <c r="K561" s="410">
        <f t="shared" ca="1" si="246"/>
        <v>8.2593147998615759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7136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700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131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13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34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3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IFERROR(__xludf.DUMMYFUNCTION("IMPORTRANGE(""https://docs.google.com/spreadsheets/d/1QqKyyYR6Q21VydFLVH3TRQUabQu_ym0Zz7PgGX0-kHA/edit?usp=sharing"",""แผน!HH51"")"),88522)</f>
        <v>88522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IFERROR(__xludf.DUMMYFUNCTION("IMPORTRANGE(""https://docs.google.com/spreadsheets/d/1QqKyyYR6Q21VydFLVH3TRQUabQu_ym0Zz7PgGX0-kHA/edit?usp=sharing"",""แผน!HH51"")"),88522)</f>
        <v>88522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1376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IFERROR(__xludf.DUMMYFUNCTION("IMPORTRANGE(""https://docs.google.com/spreadsheets/d/1QqKyyYR6Q21VydFLVH3TRQUabQu_ym0Zz7PgGX0-kHA/edit?usp=sharing"",""แผน!HJ51"")"),1376)</f>
        <v>1376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IFERROR(__xludf.DUMMYFUNCTION("IMPORTRANGE(""https://docs.google.com/spreadsheets/d/1QqKyyYR6Q21VydFLVH3TRQUabQu_ym0Zz7PgGX0-kHA/edit?usp=sharing"",""แผน!HL51"")"),0)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IFERROR(__xludf.DUMMYFUNCTION("IMPORTRANGE(""https://docs.google.com/spreadsheets/d/1QqKyyYR6Q21VydFLVH3TRQUabQu_ym0Zz7PgGX0-kHA/edit?usp=sharing"",""แผน!HK51"")"),0)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250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507280</v>
      </c>
      <c r="M629" s="195">
        <f t="shared" si="263"/>
        <v>0</v>
      </c>
      <c r="N629" s="195">
        <f t="shared" si="263"/>
        <v>38080</v>
      </c>
      <c r="O629" s="195">
        <f t="shared" ref="O629:O634" ca="1" si="264">IF(L629&gt;0,N629*100/L629,0)</f>
        <v>7.5067024128686324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507280</v>
      </c>
      <c r="M631" s="93">
        <f t="shared" si="266"/>
        <v>0</v>
      </c>
      <c r="N631" s="93">
        <f t="shared" si="266"/>
        <v>38080</v>
      </c>
      <c r="O631" s="93">
        <f t="shared" ca="1" si="264"/>
        <v>7.5067024128686324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507280</v>
      </c>
      <c r="M632" s="496">
        <f t="shared" si="267"/>
        <v>0</v>
      </c>
      <c r="N632" s="496">
        <f t="shared" si="267"/>
        <v>38080</v>
      </c>
      <c r="O632" s="496">
        <f t="shared" ca="1" si="264"/>
        <v>7.5067024128686324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v>0</v>
      </c>
      <c r="N634" s="93">
        <f>N635+N636+N637+N638</f>
        <v>38080</v>
      </c>
      <c r="O634" s="93">
        <f t="shared" ca="1" si="264"/>
        <v>7.5067024128686324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13000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25080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IFERROR(__xludf.DUMMYFUNCTION("IMPORTRANGE(""https://docs.google.com/spreadsheets/d/1QqKyyYR6Q21VydFLVH3TRQUabQu_ym0Zz7PgGX0-kHA/edit?usp=sharing"",""แผน!HR51"")"),0)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IFERROR(__xludf.DUMMYFUNCTION("IMPORTRANGE(""https://docs.google.com/spreadsheets/d/1QqKyyYR6Q21VydFLVH3TRQUabQu_ym0Zz7PgGX0-kHA/edit?usp=sharing"",""แผน!HR51"")"),0)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IFERROR(__xludf.DUMMYFUNCTION("IMPORTRANGE(""https://docs.google.com/spreadsheets/d/1XWAQStnk-4SwqDmLtmXYiTMKHgktTP8We1SCoS47DrQ/edit?usp=sharing"",""จัดที่ดิน!AS51"")"),104)</f>
        <v>104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IFERROR(__xludf.DUMMYFUNCTION("IMPORTRANGE(""https://docs.google.com/spreadsheets/d/1XWAQStnk-4SwqDmLtmXYiTMKHgktTP8We1SCoS47DrQ/edit?usp=sharing"",""จัดที่ดิน!AT51"")"),46.8)</f>
        <v>46.8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IFERROR(__xludf.DUMMYFUNCTION("IMPORTRANGE(""https://docs.google.com/spreadsheets/d/1QqKyyYR6Q21VydFLVH3TRQUabQu_ym0Zz7PgGX0-kHA/edit?usp=sharing"",""แผน!HS51"")"),250)</f>
        <v>250</v>
      </c>
      <c r="J647" s="269">
        <f ca="1">IFERROR(__xludf.DUMMYFUNCTION("IMPORTRANGE(""https://docs.google.com/spreadsheets/d/1XWAQStnk-4SwqDmLtmXYiTMKHgktTP8We1SCoS47DrQ/edit?usp=sharing"",""จัดที่ดิน!AU51"")"),14)</f>
        <v>14</v>
      </c>
      <c r="K647" s="163">
        <f t="shared" ca="1" si="271"/>
        <v>5.6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IFERROR(__xludf.DUMMYFUNCTION("IMPORTRANGE(""https://docs.google.com/spreadsheets/d/1XWAQStnk-4SwqDmLtmXYiTMKHgktTP8We1SCoS47DrQ/edit?usp=sharing"",""จัดที่ดิน!AV51"")"),6.82)</f>
        <v>6.82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IFERROR(__xludf.DUMMYFUNCTION("IMPORTRANGE(""https://docs.google.com/spreadsheets/d/1QqKyyYR6Q21VydFLVH3TRQUabQu_ym0Zz7PgGX0-kHA/edit?usp=sharing"",""แผน!HS51"")"),250)</f>
        <v>250</v>
      </c>
      <c r="J649" s="269">
        <f ca="1">IFERROR(__xludf.DUMMYFUNCTION("IMPORTRANGE(""https://docs.google.com/spreadsheets/d/1XWAQStnk-4SwqDmLtmXYiTMKHgktTP8We1SCoS47DrQ/edit?usp=sharing"",""จัดที่ดิน!AW51"")"),14)</f>
        <v>14</v>
      </c>
      <c r="K649" s="163">
        <f t="shared" ca="1" si="271"/>
        <v>5.6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IFERROR(__xludf.DUMMYFUNCTION("IMPORTRANGE(""https://docs.google.com/spreadsheets/d/1XWAQStnk-4SwqDmLtmXYiTMKHgktTP8We1SCoS47DrQ/edit?usp=sharing"",""จัดที่ดิน!AX51"")"),6.82)</f>
        <v>6.82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IFERROR(__xludf.DUMMYFUNCTION("IMPORTRANGE(""https://docs.google.com/spreadsheets/d/1QqKyyYR6Q21VydFLVH3TRQUabQu_ym0Zz7PgGX0-kHA/edit?usp=sharing"",""แผน!HS51"")"),250)</f>
        <v>250</v>
      </c>
      <c r="J651" s="269">
        <f ca="1">IFERROR(__xludf.DUMMYFUNCTION("IMPORTRANGE(""https://docs.google.com/spreadsheets/d/1XWAQStnk-4SwqDmLtmXYiTMKHgktTP8We1SCoS47DrQ/edit?usp=sharing"",""จัดที่ดิน!AY51"")"),0)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IFERROR(__xludf.DUMMYFUNCTION("IMPORTRANGE(""https://docs.google.com/spreadsheets/d/1XWAQStnk-4SwqDmLtmXYiTMKHgktTP8We1SCoS47DrQ/edit?usp=sharing"",""จัดที่ดิน!AZ51"")"),0)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100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15600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15600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15600</v>
      </c>
      <c r="M658" s="496">
        <f t="shared" si="277"/>
        <v>0</v>
      </c>
      <c r="N658" s="496">
        <f t="shared" si="277"/>
        <v>0</v>
      </c>
      <c r="O658" s="496">
        <f t="shared" ca="1" si="274"/>
        <v>0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IFERROR(__xludf.DUMMYFUNCTION("IMPORTRANGE(""https://docs.google.com/spreadsheets/d/1QqKyyYR6Q21VydFLVH3TRQUabQu_ym0Zz7PgGX0-kHA/edit?usp=sharing"",""แผน!IA51"")"),100)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IFERROR(__xludf.DUMMYFUNCTION("IMPORTRANGE(""https://docs.google.com/spreadsheets/d/1QqKyyYR6Q21VydFLVH3TRQUabQu_ym0Zz7PgGX0-kHA/edit?usp=sharing"",""แผน!HZ51"")"),6)</f>
        <v>6</v>
      </c>
      <c r="J670" s="214">
        <v>6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IFERROR(__xludf.DUMMYFUNCTION("IMPORTRANGE(""https://docs.google.com/spreadsheets/d/1QqKyyYR6Q21VydFLVH3TRQUabQu_ym0Zz7PgGX0-kHA/edit?usp=sharing"",""แผน!HZ51"")"),6)</f>
        <v>6</v>
      </c>
      <c r="J671" s="214">
        <v>6</v>
      </c>
      <c r="K671" s="496">
        <f ca="1">IF(I$671&gt;0,J671*100/I$671,0)</f>
        <v>100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IFERROR(__xludf.DUMMYFUNCTION("IMPORTRANGE(""https://docs.google.com/spreadsheets/d/1QqKyyYR6Q21VydFLVH3TRQUabQu_ym0Zz7PgGX0-kHA/edit?usp=sharing"",""แผน!IB51"")"),0)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11840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11840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11840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IFERROR(__xludf.DUMMYFUNCTION("IMPORTRANGE(""https://docs.google.com/spreadsheets/d/1QqKyyYR6Q21VydFLVH3TRQUabQu_ym0Zz7PgGX0-kHA/edit?usp=sharing"",""แผน!IC51"")"),88)</f>
        <v>88</v>
      </c>
      <c r="J699" s="269">
        <f ca="1">IFERROR(__xludf.DUMMYFUNCTION("IMPORTRANGE(""https://docs.google.com/spreadsheets/d/1XWAQStnk-4SwqDmLtmXYiTMKHgktTP8We1SCoS47DrQ/edit?usp=sharing"",""จัดที่ดิน!BB51"")"),0)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IFERROR(__xludf.DUMMYFUNCTION("IMPORTRANGE(""https://docs.google.com/spreadsheets/d/1QqKyyYR6Q21VydFLVH3TRQUabQu_ym0Zz7PgGX0-kHA/edit?usp=sharing"",""แผน!ID51"")"),17)</f>
        <v>17</v>
      </c>
      <c r="J700" s="269">
        <f ca="1">IFERROR(__xludf.DUMMYFUNCTION("IMPORTRANGE(""https://docs.google.com/spreadsheets/d/1XWAQStnk-4SwqDmLtmXYiTMKHgktTP8We1SCoS47DrQ/edit?usp=sharing"",""จัดที่ดิน!BD51"")"),10)</f>
        <v>10</v>
      </c>
      <c r="K700" s="496">
        <f t="shared" ca="1" si="290"/>
        <v>58.823529411764703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IFERROR(__xludf.DUMMYFUNCTION("IMPORTRANGE(""https://docs.google.com/spreadsheets/d/1QqKyyYR6Q21VydFLVH3TRQUabQu_ym0Zz7PgGX0-kHA/edit?usp=sharing"",""แผน!IE51"")"),0)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IFERROR(__xludf.DUMMYFUNCTION("IMPORTRANGE(""https://docs.google.com/spreadsheets/d/1QqKyyYR6Q21VydFLVH3TRQUabQu_ym0Zz7PgGX0-kHA/edit?usp=sharing"",""แผน!IF51"")"),0)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IFERROR(__xludf.DUMMYFUNCTION("IMPORTRANGE(""https://docs.google.com/spreadsheets/d/1QqKyyYR6Q21VydFLVH3TRQUabQu_ym0Zz7PgGX0-kHA/edit?usp=sharing"",""แผน!IG51"")"),0)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IFERROR(__xludf.DUMMYFUNCTION("IMPORTRANGE(""https://docs.google.com/spreadsheets/d/1QqKyyYR6Q21VydFLVH3TRQUabQu_ym0Zz7PgGX0-kHA/edit?usp=sharing"",""แผน!IH51"")"),0)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IFERROR(__xludf.DUMMYFUNCTION("IMPORTRANGE(""https://docs.google.com/spreadsheets/d/1XWAQStnk-4SwqDmLtmXYiTMKHgktTP8We1SCoS47DrQ/edit?usp=sharing"",""จัดที่ดิน!BF51"")"),0)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IFERROR(__xludf.DUMMYFUNCTION("IMPORTRANGE(""https://docs.google.com/spreadsheets/d/1XWAQStnk-4SwqDmLtmXYiTMKHgktTP8We1SCoS47DrQ/edit?usp=sharing"",""จัดที่ดิน!BG51"")"),0)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IFERROR(__xludf.DUMMYFUNCTION("IMPORTRANGE(""https://docs.google.com/spreadsheets/d/1QqKyyYR6Q21VydFLVH3TRQUabQu_ym0Zz7PgGX0-kHA/edit?usp=sharing"",""แผน!II51"")"),0)</f>
        <v>0</v>
      </c>
      <c r="J720" s="269">
        <f ca="1">IFERROR(__xludf.DUMMYFUNCTION("IMPORTRANGE(""https://docs.google.com/spreadsheets/d/1XWAQStnk-4SwqDmLtmXYiTMKHgktTP8We1SCoS47DrQ/edit?usp=sharing"",""จัดที่ดิน!BH51"")"),0)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IFERROR(__xludf.DUMMYFUNCTION("IMPORTRANGE(""https://docs.google.com/spreadsheets/d/1QqKyyYR6Q21VydFLVH3TRQUabQu_ym0Zz7PgGX0-kHA/edit?usp=sharing"",""แผน!IJ51"")"),0)</f>
        <v>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IFERROR(__xludf.DUMMYFUNCTION("IMPORTRANGE(""https://docs.google.com/spreadsheets/d/1QqKyyYR6Q21VydFLVH3TRQUabQu_ym0Zz7PgGX0-kHA/edit?usp=sharing"",""แผน!IK51"")"),0)</f>
        <v>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IFERROR(__xludf.DUMMYFUNCTION("IMPORTRANGE(""https://docs.google.com/spreadsheets/d/1QqKyyYR6Q21VydFLVH3TRQUabQu_ym0Zz7PgGX0-kHA/edit?usp=sharing"",""แผน!IL51"")"),0)</f>
        <v>0</v>
      </c>
      <c r="J723" s="269">
        <f ca="1">IFERROR(__xludf.DUMMYFUNCTION("IMPORTRANGE(""https://docs.google.com/spreadsheets/d/1XWAQStnk-4SwqDmLtmXYiTMKHgktTP8We1SCoS47DrQ/edit?usp=sharing"",""จัดที่ดิน!BM51"")"),0)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IFERROR(__xludf.DUMMYFUNCTION("IMPORTRANGE(""https://docs.google.com/spreadsheets/d/1XWAQStnk-4SwqDmLtmXYiTMKHgktTP8We1SCoS47DrQ/edit?usp=sharing"",""จัดที่ดิน!BN51"")"),0)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IFERROR(__xludf.DUMMYFUNCTION("IMPORTRANGE(""https://docs.google.com/spreadsheets/d/1QqKyyYR6Q21VydFLVH3TRQUabQu_ym0Zz7PgGX0-kHA/edit?usp=sharing"",""แผน!IM51"")"),0)</f>
        <v>0</v>
      </c>
      <c r="J725" s="269">
        <f ca="1">IFERROR(__xludf.DUMMYFUNCTION("IMPORTRANGE(""https://docs.google.com/spreadsheets/d/1XWAQStnk-4SwqDmLtmXYiTMKHgktTP8We1SCoS47DrQ/edit?usp=sharing"",""จัดที่ดิน!BO51"")"),0)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IFERROR(__xludf.DUMMYFUNCTION("IMPORTRANGE(""https://docs.google.com/spreadsheets/d/1QqKyyYR6Q21VydFLVH3TRQUabQu_ym0Zz7PgGX0-kHA/edit?usp=sharing"",""แผน!IN51"")"),0)</f>
        <v>0</v>
      </c>
      <c r="J726" s="269">
        <f ca="1">IFERROR(__xludf.DUMMYFUNCTION("IMPORTRANGE(""https://docs.google.com/spreadsheets/d/1XWAQStnk-4SwqDmLtmXYiTMKHgktTP8We1SCoS47DrQ/edit?usp=sharing"",""จัดที่ดิน!BR51"")"),0)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IFERROR(__xludf.DUMMYFUNCTION("IMPORTRANGE(""https://docs.google.com/spreadsheets/d/1XWAQStnk-4SwqDmLtmXYiTMKHgktTP8We1SCoS47DrQ/edit?usp=sharing"",""จัดที่ดิน!BS51"")"),0)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IFERROR(__xludf.DUMMYFUNCTION("IMPORTRANGE(""https://docs.google.com/spreadsheets/d/1QqKyyYR6Q21VydFLVH3TRQUabQu_ym0Zz7PgGX0-kHA/edit?usp=sharing"",""แผน!IO51"")"),0)</f>
        <v>0</v>
      </c>
      <c r="J728" s="269">
        <f ca="1">IFERROR(__xludf.DUMMYFUNCTION("IMPORTRANGE(""https://docs.google.com/spreadsheets/d/1XWAQStnk-4SwqDmLtmXYiTMKHgktTP8We1SCoS47DrQ/edit?usp=sharing"",""จัดที่ดิน!BT51"")"),0)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IFERROR(__xludf.DUMMYFUNCTION("IMPORTRANGE(""https://docs.google.com/spreadsheets/d/1QqKyyYR6Q21VydFLVH3TRQUabQu_ym0Zz7PgGX0-kHA/edit?usp=sharing"",""แผน!IP51"")"),0)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5000</v>
      </c>
      <c r="J785" s="798">
        <f t="shared" ca="1" si="318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335200</v>
      </c>
      <c r="M786" s="195">
        <f t="shared" si="319"/>
        <v>0</v>
      </c>
      <c r="N786" s="195">
        <f t="shared" si="319"/>
        <v>69730.429999999993</v>
      </c>
      <c r="O786" s="195">
        <f t="shared" ref="O786:O791" ca="1" si="320">IF(L786&gt;0,N786*100/L786,0)</f>
        <v>20.802634248210023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335200</v>
      </c>
      <c r="M788" s="93">
        <f t="shared" si="322"/>
        <v>0</v>
      </c>
      <c r="N788" s="93">
        <f t="shared" si="322"/>
        <v>69730.429999999993</v>
      </c>
      <c r="O788" s="93">
        <f t="shared" ca="1" si="320"/>
        <v>20.802634248210023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335200</v>
      </c>
      <c r="M789" s="496">
        <f t="shared" si="323"/>
        <v>0</v>
      </c>
      <c r="N789" s="496">
        <f t="shared" si="323"/>
        <v>69730.429999999993</v>
      </c>
      <c r="O789" s="496">
        <f t="shared" ca="1" si="320"/>
        <v>20.802634248210023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v>0</v>
      </c>
      <c r="N791" s="93">
        <f>N792+N793+N794+N795</f>
        <v>69730.429999999993</v>
      </c>
      <c r="O791" s="93">
        <f t="shared" ca="1" si="320"/>
        <v>20.802634248210023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9400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f>60000+330.43</f>
        <v>60330.43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IFERROR(__xludf.DUMMYFUNCTION("IMPORTRANGE(""https://docs.google.com/spreadsheets/d/1QqKyyYR6Q21VydFLVH3TRQUabQu_ym0Zz7PgGX0-kHA/edit?usp=sharing"",""แผน!JN51"")"),5000)</f>
        <v>5000</v>
      </c>
      <c r="J800" s="184">
        <f ca="1">IFERROR(__xludf.DUMMYFUNCTION("IMPORTRANGE(""https://docs.google.com/spreadsheets/d/1MaWodYyGHDf7siQLGxnXhG4mBNTNIuy296niS2xXulU/edit?usp=sharing"",""RTK!H51"")"),0)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IFERROR(__xludf.DUMMYFUNCTION("IMPORTRANGE(""https://docs.google.com/spreadsheets/d/1MaWodYyGHDf7siQLGxnXhG4mBNTNIuy296niS2xXulU/edit?usp=sharing"",""RTK!I51"")"),0)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69">
        <f ca="1">IFERROR(__xludf.DUMMYFUNCTION("IMPORTRANGE(""https://docs.google.com/spreadsheets/d/19vJNZY_5yjcGF2XGBMNZRCAIB0Kwfpjp8YEOfu-bneM/edit?usp=sharing"",""งานกองทุน!F51"")"),0)</f>
        <v>0</v>
      </c>
      <c r="K821" s="496">
        <f t="shared" ref="K821:K828" ca="1" si="335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IFERROR(__xludf.DUMMYFUNCTION("IMPORTRANGE(""https://docs.google.com/spreadsheets/d/19vJNZY_5yjcGF2XGBMNZRCAIB0Kwfpjp8YEOfu-bneM/edit?usp=sharing"",""งานกองทุน!C51"")"),301)</f>
        <v>301</v>
      </c>
      <c r="J822" s="269">
        <f ca="1">IFERROR(__xludf.DUMMYFUNCTION("IMPORTRANGE(""https://docs.google.com/spreadsheets/d/19vJNZY_5yjcGF2XGBMNZRCAIB0Kwfpjp8YEOfu-bneM/edit?usp=sharing"",""งานกองทุน!E51"")"),0)</f>
        <v>0</v>
      </c>
      <c r="K822" s="496">
        <f t="shared" ca="1" si="335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69">
        <f ca="1">IFERROR(__xludf.DUMMYFUNCTION("IMPORTRANGE(""https://docs.google.com/spreadsheets/d/19vJNZY_5yjcGF2XGBMNZRCAIB0Kwfpjp8YEOfu-bneM/edit?usp=sharing"",""งานกองทุน!K51"")"),1948.08)</f>
        <v>1948.08</v>
      </c>
      <c r="K823" s="496">
        <f t="shared" ca="1" si="335"/>
        <v>4.6706702512988328E-2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IFERROR(__xludf.DUMMYFUNCTION("IMPORTRANGE(""https://docs.google.com/spreadsheets/d/19vJNZY_5yjcGF2XGBMNZRCAIB0Kwfpjp8YEOfu-bneM/edit?usp=sharing"",""งานกองทุน!H51"")"),239)</f>
        <v>239</v>
      </c>
      <c r="J824" s="269">
        <f ca="1">IFERROR(__xludf.DUMMYFUNCTION("IMPORTRANGE(""https://docs.google.com/spreadsheets/d/19vJNZY_5yjcGF2XGBMNZRCAIB0Kwfpjp8YEOfu-bneM/edit?usp=sharing"",""งานกองทุน!J51"")"),3)</f>
        <v>3</v>
      </c>
      <c r="K824" s="496">
        <f t="shared" ca="1" si="335"/>
        <v>1.2552301255230125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IFERROR(__xludf.DUMMYFUNCTION("IMPORTRANGE(""https://docs.google.com/spreadsheets/d/19vJNZY_5yjcGF2XGBMNZRCAIB0Kwfpjp8YEOfu-bneM/edit?usp=sharing"",""งานกองทุน!N51"")"),332208.81)</f>
        <v>332208.81</v>
      </c>
      <c r="J825" s="269">
        <f ca="1">IFERROR(__xludf.DUMMYFUNCTION("IMPORTRANGE(""https://docs.google.com/spreadsheets/d/19vJNZY_5yjcGF2XGBMNZRCAIB0Kwfpjp8YEOfu-bneM/edit?usp=sharing"",""งานกองทุน!P51"")"),0)</f>
        <v>0</v>
      </c>
      <c r="K825" s="496">
        <f t="shared" ca="1" si="335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IFERROR(__xludf.DUMMYFUNCTION("IMPORTRANGE(""https://docs.google.com/spreadsheets/d/19vJNZY_5yjcGF2XGBMNZRCAIB0Kwfpjp8YEOfu-bneM/edit?usp=sharing"",""งานกองทุน!M51"")"),157)</f>
        <v>157</v>
      </c>
      <c r="J826" s="269">
        <f ca="1">IFERROR(__xludf.DUMMYFUNCTION("IMPORTRANGE(""https://docs.google.com/spreadsheets/d/19vJNZY_5yjcGF2XGBMNZRCAIB0Kwfpjp8YEOfu-bneM/edit?usp=sharing"",""งานกองทุน!O51"")"),0)</f>
        <v>0</v>
      </c>
      <c r="K826" s="496">
        <f t="shared" ca="1" si="335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IFERROR(__xludf.DUMMYFUNCTION("IMPORTRANGE(""https://docs.google.com/spreadsheets/d/19vJNZY_5yjcGF2XGBMNZRCAIB0Kwfpjp8YEOfu-bneM/edit?usp=sharing"",""งานกองทุน!S51"")"),8640000)</f>
        <v>8640000</v>
      </c>
      <c r="J827" s="269">
        <f ca="1">IFERROR(__xludf.DUMMYFUNCTION("IMPORTRANGE(""https://docs.google.com/spreadsheets/d/19vJNZY_5yjcGF2XGBMNZRCAIB0Kwfpjp8YEOfu-bneM/edit?usp=sharing"",""งานกองทุน!U51"")"),0)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IFERROR(__xludf.DUMMYFUNCTION("IMPORTRANGE(""https://docs.google.com/spreadsheets/d/19vJNZY_5yjcGF2XGBMNZRCAIB0Kwfpjp8YEOfu-bneM/edit?usp=sharing"",""งานกองทุน!R51"")"),267)</f>
        <v>267</v>
      </c>
      <c r="J828" s="499">
        <f ca="1">IFERROR(__xludf.DUMMYFUNCTION("IMPORTRANGE(""https://docs.google.com/spreadsheets/d/19vJNZY_5yjcGF2XGBMNZRCAIB0Kwfpjp8YEOfu-bneM/edit?usp=sharing"",""งานกองทุน!T51"")"),37)</f>
        <v>37</v>
      </c>
      <c r="K828" s="500">
        <f t="shared" ca="1" si="335"/>
        <v>13.857677902621722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A48C7-0D98-443D-8F2E-974BF5997DC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R4" sqref="R4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335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6171997</v>
      </c>
      <c r="M8" s="21">
        <f t="shared" ca="1" si="0"/>
        <v>2374036</v>
      </c>
      <c r="N8" s="21">
        <f t="shared" ca="1" si="0"/>
        <v>1569888.52</v>
      </c>
      <c r="O8" s="21">
        <f t="shared" ref="O8:O16" ca="1" si="1">IF(L8&gt;0,N8*100/L8,0)</f>
        <v>25.43566563626003</v>
      </c>
      <c r="P8" s="21">
        <f t="shared" ref="P8:P16" ca="1" si="2">IF(M8&gt;0,N8*100/M8,0)</f>
        <v>66.127410030850413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6171997</v>
      </c>
      <c r="M10" s="30">
        <f t="shared" ca="1" si="3"/>
        <v>2374036</v>
      </c>
      <c r="N10" s="30">
        <f t="shared" ca="1" si="3"/>
        <v>1569888.52</v>
      </c>
      <c r="O10" s="30">
        <f t="shared" ca="1" si="1"/>
        <v>25.43566563626003</v>
      </c>
      <c r="P10" s="30">
        <f t="shared" ca="1" si="2"/>
        <v>66.127410030850413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6041997</v>
      </c>
      <c r="M11" s="496">
        <f t="shared" ca="1" si="4"/>
        <v>2244636</v>
      </c>
      <c r="N11" s="496">
        <f t="shared" ca="1" si="4"/>
        <v>1440488.52</v>
      </c>
      <c r="O11" s="496">
        <f t="shared" ca="1" si="1"/>
        <v>23.841265065176298</v>
      </c>
      <c r="P11" s="496">
        <f t="shared" ca="1" si="2"/>
        <v>64.174704495517318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6041997</v>
      </c>
      <c r="M13" s="93">
        <f t="shared" ca="1" si="5"/>
        <v>2244636</v>
      </c>
      <c r="N13" s="93">
        <f t="shared" ca="1" si="5"/>
        <v>1440488.52</v>
      </c>
      <c r="O13" s="93">
        <f t="shared" ca="1" si="1"/>
        <v>23.841265065176298</v>
      </c>
      <c r="P13" s="93">
        <f t="shared" ca="1" si="2"/>
        <v>64.174704495517318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130000</v>
      </c>
      <c r="M14" s="496">
        <f t="shared" ca="1" si="6"/>
        <v>129400</v>
      </c>
      <c r="N14" s="496">
        <f t="shared" ca="1" si="6"/>
        <v>129400</v>
      </c>
      <c r="O14" s="496">
        <f t="shared" ca="1" si="1"/>
        <v>99.538461538461533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4585736</v>
      </c>
      <c r="M18" s="21">
        <f t="shared" ca="1" si="8"/>
        <v>2374036</v>
      </c>
      <c r="N18" s="21">
        <f t="shared" ca="1" si="8"/>
        <v>1477144.19</v>
      </c>
      <c r="O18" s="21">
        <f t="shared" ref="O18:O26" ca="1" si="9">IF(L18&gt;0,N18*100/L18,0)</f>
        <v>32.211714542660111</v>
      </c>
      <c r="P18" s="21">
        <f t="shared" ref="P18:P26" ca="1" si="10">IF(M18&gt;0,N18*100/M18,0)</f>
        <v>62.220799937321928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2374036</v>
      </c>
      <c r="N20" s="30">
        <f t="shared" ca="1" si="11"/>
        <v>1477144.19</v>
      </c>
      <c r="O20" s="30">
        <f t="shared" ca="1" si="9"/>
        <v>32.211714542660111</v>
      </c>
      <c r="P20" s="30">
        <f t="shared" ca="1" si="10"/>
        <v>62.220799937321928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4455736</v>
      </c>
      <c r="M21" s="496">
        <f t="shared" ca="1" si="12"/>
        <v>2244636</v>
      </c>
      <c r="N21" s="496">
        <f t="shared" ca="1" si="12"/>
        <v>1347744.19</v>
      </c>
      <c r="O21" s="496">
        <f t="shared" ca="1" si="9"/>
        <v>30.247397736311129</v>
      </c>
      <c r="P21" s="496">
        <f t="shared" ca="1" si="10"/>
        <v>60.0428840132654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4455736</v>
      </c>
      <c r="M23" s="93">
        <f t="shared" ca="1" si="13"/>
        <v>2244636</v>
      </c>
      <c r="N23" s="93">
        <f t="shared" ca="1" si="13"/>
        <v>1347744.19</v>
      </c>
      <c r="O23" s="93">
        <f t="shared" ca="1" si="9"/>
        <v>30.247397736311129</v>
      </c>
      <c r="P23" s="93">
        <f t="shared" ca="1" si="10"/>
        <v>60.0428840132654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130000</v>
      </c>
      <c r="M24" s="496">
        <f t="shared" ca="1" si="14"/>
        <v>129400</v>
      </c>
      <c r="N24" s="496">
        <f t="shared" ca="1" si="14"/>
        <v>129400</v>
      </c>
      <c r="O24" s="496">
        <f t="shared" ca="1" si="9"/>
        <v>99.538461538461533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1586261</v>
      </c>
      <c r="M28" s="21">
        <f t="shared" si="16"/>
        <v>0</v>
      </c>
      <c r="N28" s="21">
        <f t="shared" si="16"/>
        <v>92744.33</v>
      </c>
      <c r="O28" s="21">
        <f t="shared" ref="O28:O37" ca="1" si="17">IF(L28&gt;0,N28*100/L28,0)</f>
        <v>5.8467257279854952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1586261</v>
      </c>
      <c r="M30" s="30">
        <f t="shared" si="19"/>
        <v>0</v>
      </c>
      <c r="N30" s="30">
        <f t="shared" si="19"/>
        <v>92744.33</v>
      </c>
      <c r="O30" s="30">
        <f t="shared" ca="1" si="17"/>
        <v>5.8467257279854952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1586261</v>
      </c>
      <c r="M31" s="496">
        <f t="shared" si="20"/>
        <v>0</v>
      </c>
      <c r="N31" s="496">
        <f t="shared" si="20"/>
        <v>92744.33</v>
      </c>
      <c r="O31" s="496">
        <f t="shared" ca="1" si="17"/>
        <v>5.8467257279854952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1586261</v>
      </c>
      <c r="M33" s="93">
        <f t="shared" si="21"/>
        <v>0</v>
      </c>
      <c r="N33" s="93">
        <f t="shared" si="21"/>
        <v>92744.33</v>
      </c>
      <c r="O33" s="93">
        <f t="shared" ca="1" si="17"/>
        <v>5.8467257279854952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4585736</v>
      </c>
      <c r="M37" s="59">
        <f t="shared" ca="1" si="24"/>
        <v>2374036</v>
      </c>
      <c r="N37" s="59">
        <f t="shared" ca="1" si="24"/>
        <v>1477144.19</v>
      </c>
      <c r="O37" s="59">
        <f t="shared" ca="1" si="17"/>
        <v>32.211714542660111</v>
      </c>
      <c r="P37" s="59">
        <f t="shared" ca="1" si="18"/>
        <v>62.220799937321928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789046</v>
      </c>
      <c r="M41" s="84">
        <f t="shared" ca="1" si="25"/>
        <v>395796</v>
      </c>
      <c r="N41" s="84">
        <f t="shared" ca="1" si="25"/>
        <v>223894</v>
      </c>
      <c r="O41" s="84">
        <f t="shared" ref="O41:O49" ca="1" si="26">IF(L41&gt;0,N41*100/L41,0)</f>
        <v>28.375278500873208</v>
      </c>
      <c r="P41" s="84">
        <f t="shared" ref="P41:P49" ca="1" si="27">IF(M41&gt;0,N41*100/M41,0)</f>
        <v>56.568029995250079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395796</v>
      </c>
      <c r="N43" s="92">
        <f t="shared" ca="1" si="28"/>
        <v>223894</v>
      </c>
      <c r="O43" s="92">
        <f t="shared" ca="1" si="26"/>
        <v>28.375278500873208</v>
      </c>
      <c r="P43" s="92">
        <f t="shared" ca="1" si="27"/>
        <v>56.568029995250079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789046</v>
      </c>
      <c r="M44" s="496">
        <f t="shared" ca="1" si="29"/>
        <v>395796</v>
      </c>
      <c r="N44" s="496">
        <f t="shared" ca="1" si="29"/>
        <v>223894</v>
      </c>
      <c r="O44" s="496">
        <f t="shared" ca="1" si="26"/>
        <v>28.375278500873208</v>
      </c>
      <c r="P44" s="496">
        <f t="shared" ca="1" si="27"/>
        <v>56.568029995250079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IFERROR(__xludf.DUMMYFUNCTION("IMPORTRANGE(""https://docs.google.com/spreadsheets/d/1MeEWN-I1oV_STSDYn1IFDPWt_1FKiwhDph83XaGc0o0/edit?usp=sharing"",""งบพรบ!R33"")"),395796)</f>
        <v>395796</v>
      </c>
      <c r="N46" s="93">
        <f ca="1">IFERROR(__xludf.DUMMYFUNCTION("IMPORTRANGE(""https://docs.google.com/spreadsheets/d/1MeEWN-I1oV_STSDYn1IFDPWt_1FKiwhDph83XaGc0o0/edit?usp=sharing"",""งบพรบ!T33"")"),223894)</f>
        <v>223894</v>
      </c>
      <c r="O46" s="93">
        <f t="shared" ca="1" si="26"/>
        <v>28.375278500873208</v>
      </c>
      <c r="P46" s="93">
        <f t="shared" ca="1" si="27"/>
        <v>56.568029995250079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921900</v>
      </c>
      <c r="M53" s="115">
        <f t="shared" ca="1" si="31"/>
        <v>477050</v>
      </c>
      <c r="N53" s="115">
        <f t="shared" ca="1" si="31"/>
        <v>353414.39</v>
      </c>
      <c r="O53" s="115">
        <f t="shared" ref="O53:O61" ca="1" si="32">IF(L53&gt;0,N53*100/L53,0)</f>
        <v>38.335436598329537</v>
      </c>
      <c r="P53" s="115">
        <f t="shared" ref="P53:P61" ca="1" si="33">IF(M53&gt;0,N53*100/M53,0)</f>
        <v>74.083301540719006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477050</v>
      </c>
      <c r="N55" s="123">
        <f t="shared" ca="1" si="34"/>
        <v>353414.39</v>
      </c>
      <c r="O55" s="123">
        <f t="shared" ca="1" si="32"/>
        <v>38.335436598329537</v>
      </c>
      <c r="P55" s="123">
        <f t="shared" ca="1" si="33"/>
        <v>74.083301540719006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889700</v>
      </c>
      <c r="M56" s="496">
        <f t="shared" ca="1" si="35"/>
        <v>444850</v>
      </c>
      <c r="N56" s="496">
        <f t="shared" ca="1" si="35"/>
        <v>321214.39</v>
      </c>
      <c r="O56" s="496">
        <f t="shared" ca="1" si="32"/>
        <v>36.103674272226591</v>
      </c>
      <c r="P56" s="496">
        <f t="shared" ca="1" si="33"/>
        <v>72.207348544453183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IFERROR(__xludf.DUMMYFUNCTION("IMPORTRANGE(""https://docs.google.com/spreadsheets/d/1MeEWN-I1oV_STSDYn1IFDPWt_1FKiwhDph83XaGc0o0/edit?usp=sharing"",""งบพรบ!AB33"")"),444850)</f>
        <v>444850</v>
      </c>
      <c r="N58" s="93">
        <f ca="1">IFERROR(__xludf.DUMMYFUNCTION("IMPORTRANGE(""https://docs.google.com/spreadsheets/d/1MeEWN-I1oV_STSDYn1IFDPWt_1FKiwhDph83XaGc0o0/edit?usp=sharing"",""งบพรบ!AD33"")"),321214.39)</f>
        <v>321214.39</v>
      </c>
      <c r="O58" s="93">
        <f t="shared" ca="1" si="32"/>
        <v>36.103674272226591</v>
      </c>
      <c r="P58" s="93">
        <f t="shared" ca="1" si="33"/>
        <v>72.207348544453183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32200</v>
      </c>
      <c r="M59" s="496">
        <f t="shared" ca="1" si="36"/>
        <v>32200</v>
      </c>
      <c r="N59" s="496">
        <f t="shared" ca="1" si="36"/>
        <v>32200</v>
      </c>
      <c r="O59" s="496">
        <f t="shared" ca="1" si="32"/>
        <v>100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1012000</v>
      </c>
      <c r="M66" s="155">
        <f t="shared" ca="1" si="39"/>
        <v>486000</v>
      </c>
      <c r="N66" s="155">
        <f t="shared" ca="1" si="39"/>
        <v>415376.89</v>
      </c>
      <c r="O66" s="155">
        <f t="shared" ref="O66:O74" ca="1" si="40">IF(L66&gt;0,N66*100/L66,0)</f>
        <v>41.045147233201583</v>
      </c>
      <c r="P66" s="155">
        <f t="shared" ref="P66:P74" ca="1" si="41">IF(M66&gt;0,N66*100/M66,0)</f>
        <v>85.46849588477366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1012000</v>
      </c>
      <c r="M68" s="93">
        <f t="shared" ca="1" si="42"/>
        <v>486000</v>
      </c>
      <c r="N68" s="93">
        <f t="shared" ca="1" si="42"/>
        <v>415376.89</v>
      </c>
      <c r="O68" s="93">
        <f t="shared" ca="1" si="40"/>
        <v>41.045147233201583</v>
      </c>
      <c r="P68" s="93">
        <f t="shared" ca="1" si="41"/>
        <v>85.46849588477366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1012000</v>
      </c>
      <c r="M69" s="496">
        <f t="shared" ca="1" si="43"/>
        <v>486000</v>
      </c>
      <c r="N69" s="496">
        <f t="shared" ca="1" si="43"/>
        <v>415376.89</v>
      </c>
      <c r="O69" s="496">
        <f t="shared" ca="1" si="40"/>
        <v>41.045147233201583</v>
      </c>
      <c r="P69" s="496">
        <f t="shared" ca="1" si="41"/>
        <v>85.46849588477366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IFERROR(__xludf.DUMMYFUNCTION("IMPORTRANGE(""https://docs.google.com/spreadsheets/d/1MeEWN-I1oV_STSDYn1IFDPWt_1FKiwhDph83XaGc0o0/edit?usp=sharing"",""งบพรบ!AL33"")"),486000)</f>
        <v>486000</v>
      </c>
      <c r="N71" s="93">
        <f ca="1">IFERROR(__xludf.DUMMYFUNCTION("IMPORTRANGE(""https://docs.google.com/spreadsheets/d/1MeEWN-I1oV_STSDYn1IFDPWt_1FKiwhDph83XaGc0o0/edit?usp=sharing"",""งบพรบ!AN33"")"),415376.89)</f>
        <v>415376.89</v>
      </c>
      <c r="O71" s="93">
        <f t="shared" ca="1" si="40"/>
        <v>41.045147233201583</v>
      </c>
      <c r="P71" s="93">
        <f t="shared" ca="1" si="41"/>
        <v>85.46849588477366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30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111180</v>
      </c>
      <c r="M88" s="155">
        <f t="shared" ca="1" si="49"/>
        <v>71430</v>
      </c>
      <c r="N88" s="155">
        <f t="shared" ca="1" si="49"/>
        <v>4637.88</v>
      </c>
      <c r="O88" s="155">
        <f t="shared" ref="O88:O96" ca="1" si="50">IF(L88&gt;0,N88*100/L88,0)</f>
        <v>4.1715056664867785</v>
      </c>
      <c r="P88" s="155">
        <f t="shared" ref="P88:P96" ca="1" si="51">IF(M88&gt;0,N88*100/M88,0)</f>
        <v>6.4929021419571606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111180</v>
      </c>
      <c r="M90" s="93">
        <f t="shared" ca="1" si="52"/>
        <v>71430</v>
      </c>
      <c r="N90" s="93">
        <f t="shared" ca="1" si="52"/>
        <v>4637.88</v>
      </c>
      <c r="O90" s="93">
        <f t="shared" ca="1" si="50"/>
        <v>4.1715056664867785</v>
      </c>
      <c r="P90" s="93">
        <f t="shared" ca="1" si="51"/>
        <v>6.4929021419571606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111180</v>
      </c>
      <c r="M91" s="496">
        <f t="shared" ca="1" si="53"/>
        <v>71430</v>
      </c>
      <c r="N91" s="496">
        <f t="shared" ca="1" si="53"/>
        <v>4637.88</v>
      </c>
      <c r="O91" s="496">
        <f t="shared" ca="1" si="50"/>
        <v>4.1715056664867785</v>
      </c>
      <c r="P91" s="496">
        <f t="shared" ca="1" si="51"/>
        <v>6.4929021419571606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IFERROR(__xludf.DUMMYFUNCTION("IMPORTRANGE(""https://docs.google.com/spreadsheets/d/1MeEWN-I1oV_STSDYn1IFDPWt_1FKiwhDph83XaGc0o0/edit?usp=sharing"",""งบพรบ!AV33"")"),71430)</f>
        <v>71430</v>
      </c>
      <c r="N93" s="93">
        <f ca="1">IFERROR(__xludf.DUMMYFUNCTION("IMPORTRANGE(""https://docs.google.com/spreadsheets/d/1MeEWN-I1oV_STSDYn1IFDPWt_1FKiwhDph83XaGc0o0/edit?usp=sharing"",""งบพรบ!AX33"")"),4637.88)</f>
        <v>4637.88</v>
      </c>
      <c r="O93" s="93">
        <f t="shared" ca="1" si="50"/>
        <v>4.1715056664867785</v>
      </c>
      <c r="P93" s="93">
        <f t="shared" ca="1" si="51"/>
        <v>6.4929021419571606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IFERROR(__xludf.DUMMYFUNCTION("IMPORTRANGE(""https://docs.google.com/spreadsheets/d/1QqKyyYR6Q21VydFLVH3TRQUabQu_ym0Zz7PgGX0-kHA/edit?usp=sharing"",""แผน!K33"")"),60)</f>
        <v>60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IFERROR(__xludf.DUMMYFUNCTION("IMPORTRANGE(""https://docs.google.com/spreadsheets/d/1QqKyyYR6Q21VydFLVH3TRQUabQu_ym0Zz7PgGX0-kHA/edit?usp=sharing"",""แผน!L33"")"),20)</f>
        <v>20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IFERROR(__xludf.DUMMYFUNCTION("IMPORTRANGE(""https://docs.google.com/spreadsheets/d/1QqKyyYR6Q21VydFLVH3TRQUabQu_ym0Zz7PgGX0-kHA/edit?usp=sharing"",""แผน!M33"")"),2)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IFERROR(__xludf.DUMMYFUNCTION("IMPORTRANGE(""https://docs.google.com/spreadsheets/d/1QqKyyYR6Q21VydFLVH3TRQUabQu_ym0Zz7PgGX0-kHA/edit?usp=sharing"",""แผน!N33"")"),60)</f>
        <v>60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IFERROR(__xludf.DUMMYFUNCTION("IMPORTRANGE(""https://docs.google.com/spreadsheets/d/1QqKyyYR6Q21VydFLVH3TRQUabQu_ym0Zz7PgGX0-kHA/edit?usp=sharing"",""แผน!O33"")"),20)</f>
        <v>20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IFERROR(__xludf.DUMMYFUNCTION("IMPORTRANGE(""https://docs.google.com/spreadsheets/d/1QqKyyYR6Q21VydFLVH3TRQUabQu_ym0Zz7PgGX0-kHA/edit?usp=sharing"",""แผน!O33"")"),20)</f>
        <v>20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IFERROR(__xludf.DUMMYFUNCTION("IMPORTRANGE(""https://docs.google.com/spreadsheets/d/1QqKyyYR6Q21VydFLVH3TRQUabQu_ym0Zz7PgGX0-kHA/edit?usp=sharing"",""แผน!P33"")"),1)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IFERROR(__xludf.DUMMYFUNCTION("IMPORTRANGE(""https://docs.google.com/spreadsheets/d/1QqKyyYR6Q21VydFLVH3TRQUabQu_ym0Zz7PgGX0-kHA/edit?usp=sharing"",""แผน!P33"")"),1)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IFERROR(__xludf.DUMMYFUNCTION("IMPORTRANGE(""https://docs.google.com/spreadsheets/d/1QqKyyYR6Q21VydFLVH3TRQUabQu_ym0Zz7PgGX0-kHA/edit?usp=sharing"",""แผน!Q33"")"),1)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IFERROR(__xludf.DUMMYFUNCTION("IMPORTRANGE(""https://docs.google.com/spreadsheets/d/1QqKyyYR6Q21VydFLVH3TRQUabQu_ym0Zz7PgGX0-kHA/edit?usp=sharing"",""แผน!Q33"")"),1)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IFERROR(__xludf.DUMMYFUNCTION("IMPORTRANGE(""https://docs.google.com/spreadsheets/d/1QqKyyYR6Q21VydFLVH3TRQUabQu_ym0Zz7PgGX0-kHA/edit?usp=sharing"",""แผน!U33"")"),0)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IFERROR(__xludf.DUMMYFUNCTION("IMPORTRANGE(""https://docs.google.com/spreadsheets/d/1QqKyyYR6Q21VydFLVH3TRQUabQu_ym0Zz7PgGX0-kHA/edit?usp=sharing"",""แผน!V33"")"),0)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IFERROR(__xludf.DUMMYFUNCTION("IMPORTRANGE(""https://docs.google.com/spreadsheets/d/1QqKyyYR6Q21VydFLVH3TRQUabQu_ym0Zz7PgGX0-kHA/edit?usp=sharing"",""แผน!W33"")"),0)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IFERROR(__xludf.DUMMYFUNCTION("IMPORTRANGE(""https://docs.google.com/spreadsheets/d/1QqKyyYR6Q21VydFLVH3TRQUabQu_ym0Zz7PgGX0-kHA/edit?usp=sharing"",""แผน!X33"")"),0)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10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21050</v>
      </c>
      <c r="M165" s="154">
        <f t="shared" ca="1" si="84"/>
        <v>21050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IFERROR(__xludf.DUMMYFUNCTION("IMPORTRANGE(""https://docs.google.com/spreadsheets/d/1MeEWN-I1oV_STSDYn1IFDPWt_1FKiwhDph83XaGc0o0/edit?usp=sharing"",""งบพรบ!CJ33"")"),21050)</f>
        <v>21050</v>
      </c>
      <c r="N170" s="93">
        <f ca="1">IFERROR(__xludf.DUMMYFUNCTION("IMPORTRANGE(""https://docs.google.com/spreadsheets/d/1MeEWN-I1oV_STSDYn1IFDPWt_1FKiwhDph83XaGc0o0/edit?usp=sharing"",""งบพรบ!CL33"")"),0)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IFERROR(__xludf.DUMMYFUNCTION("IMPORTRANGE(""https://docs.google.com/spreadsheets/d/1QqKyyYR6Q21VydFLVH3TRQUabQu_ym0Zz7PgGX0-kHA/edit?usp=sharing"",""แผน!Y33"")"),10)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1">L182+L183</f>
        <v>63500</v>
      </c>
      <c r="M181" s="154">
        <f t="shared" ca="1" si="91"/>
        <v>30000</v>
      </c>
      <c r="N181" s="154">
        <f t="shared" ca="1" si="91"/>
        <v>0</v>
      </c>
      <c r="O181" s="154">
        <f t="shared" ref="O181:O189" ca="1" si="92">IF(L181&gt;0,N181*100/L181,0)</f>
        <v>0</v>
      </c>
      <c r="P181" s="154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63500</v>
      </c>
      <c r="M183" s="93">
        <f t="shared" ca="1" si="94"/>
        <v>30000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63500</v>
      </c>
      <c r="M184" s="496">
        <f t="shared" ca="1" si="95"/>
        <v>30000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IFERROR(__xludf.DUMMYFUNCTION("IMPORTRANGE(""https://docs.google.com/spreadsheets/d/1MeEWN-I1oV_STSDYn1IFDPWt_1FKiwhDph83XaGc0o0/edit?usp=sharing"",""งบพรบ!CT33"")"),30000)</f>
        <v>30000</v>
      </c>
      <c r="N186" s="93">
        <f ca="1">IFERROR(__xludf.DUMMYFUNCTION("IMPORTRANGE(""https://docs.google.com/spreadsheets/d/1MeEWN-I1oV_STSDYn1IFDPWt_1FKiwhDph83XaGc0o0/edit?usp=sharing"",""งบพรบ!CV33"")"),0)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IFERROR(__xludf.DUMMYFUNCTION("IMPORTRANGE(""https://docs.google.com/spreadsheets/d/1QqKyyYR6Q21VydFLVH3TRQUabQu_ym0Zz7PgGX0-kHA/edit?usp=sharing"",""แผน!AC33"")"),4)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IFERROR(__xludf.DUMMYFUNCTION("IMPORTRANGE(""https://docs.google.com/spreadsheets/d/1QqKyyYR6Q21VydFLVH3TRQUabQu_ym0Zz7PgGX0-kHA/edit?usp=sharing"",""แผน!AE33"")"),3000)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IFERROR(__xludf.DUMMYFUNCTION("IMPORTRANGE(""https://docs.google.com/spreadsheets/d/1QqKyyYR6Q21VydFLVH3TRQUabQu_ym0Zz7PgGX0-kHA/edit?usp=sharing"",""แผน!AF33"")"),24000)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IFERROR(__xludf.DUMMYFUNCTION("IMPORTRANGE(""https://docs.google.com/spreadsheets/d/1QqKyyYR6Q21VydFLVH3TRQUabQu_ym0Zz7PgGX0-kHA/edit?usp=sharing"",""แผน!AG33"")"),12000)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IFERROR(__xludf.DUMMYFUNCTION("IMPORTRANGE(""https://docs.google.com/spreadsheets/d/1QqKyyYR6Q21VydFLVH3TRQUabQu_ym0Zz7PgGX0-kHA/edit?usp=sharing"",""แผน!AH33"")"),0)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IFERROR(__xludf.DUMMYFUNCTION("IMPORTRANGE(""https://docs.google.com/spreadsheets/d/1QqKyyYR6Q21VydFLVH3TRQUabQu_ym0Zz7PgGX0-kHA/edit?usp=sharing"",""แผน!AI33"")"),3)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IFERROR(__xludf.DUMMYFUNCTION("IMPORTRANGE(""https://docs.google.com/spreadsheets/d/1QqKyyYR6Q21VydFLVH3TRQUabQu_ym0Zz7PgGX0-kHA/edit?usp=sharing"",""แผน!AK33"")"),0)</f>
        <v>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IFERROR(__xludf.DUMMYFUNCTION("IMPORTRANGE(""https://docs.google.com/spreadsheets/d/1QqKyyYR6Q21VydFLVH3TRQUabQu_ym0Zz7PgGX0-kHA/edit?usp=sharing"",""แผน!AL33"")"),0)</f>
        <v>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IFERROR(__xludf.DUMMYFUNCTION("IMPORTRANGE(""https://docs.google.com/spreadsheets/d/1QqKyyYR6Q21VydFLVH3TRQUabQu_ym0Zz7PgGX0-kHA/edit?usp=sharing"",""แผน!AM33"")"),0)</f>
        <v>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IFERROR(__xludf.DUMMYFUNCTION("IMPORTRANGE(""https://docs.google.com/spreadsheets/d/1QqKyyYR6Q21VydFLVH3TRQUabQu_ym0Zz7PgGX0-kHA/edit?usp=sharing"",""แผน!AN33"")"),0)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IFERROR(__xludf.DUMMYFUNCTION("IMPORTRANGE(""https://docs.google.com/spreadsheets/d/1QqKyyYR6Q21VydFLVH3TRQUabQu_ym0Zz7PgGX0-kHA/edit?usp=sharing"",""แผน!AN33"")"),0)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IFERROR(__xludf.DUMMYFUNCTION("IMPORTRANGE(""https://docs.google.com/spreadsheets/d/1QqKyyYR6Q21VydFLVH3TRQUabQu_ym0Zz7PgGX0-kHA/edit?usp=sharing"",""แผน!AP33"")"),5000)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IFERROR(__xludf.DUMMYFUNCTION("IMPORTRANGE(""https://docs.google.com/spreadsheets/d/1QqKyyYR6Q21VydFLVH3TRQUabQu_ym0Zz7PgGX0-kHA/edit?usp=sharing"",""แผน!AQ33"")"),13500)</f>
        <v>13500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IFERROR(__xludf.DUMMYFUNCTION("IMPORTRANGE(""https://docs.google.com/spreadsheets/d/1QqKyyYR6Q21VydFLVH3TRQUabQu_ym0Zz7PgGX0-kHA/edit?usp=sharing"",""แผน!AR33"")"),0)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IFERROR(__xludf.DUMMYFUNCTION("IMPORTRANGE(""https://docs.google.com/spreadsheets/d/1QqKyyYR6Q21VydFLVH3TRQUabQu_ym0Zz7PgGX0-kHA/edit?usp=sharing"",""แผน!AT33"")"),50000)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IFERROR(__xludf.DUMMYFUNCTION("IMPORTRANGE(""https://docs.google.com/spreadsheets/d/1QqKyyYR6Q21VydFLVH3TRQUabQu_ym0Zz7PgGX0-kHA/edit?usp=sharing"",""แผน!AT33"")"),50000)</f>
        <v>50000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IFERROR(__xludf.DUMMYFUNCTION("IMPORTRANGE(""https://docs.google.com/spreadsheets/d/1QqKyyYR6Q21VydFLVH3TRQUabQu_ym0Zz7PgGX0-kHA/edit?usp=sharing"",""แผน!AS33"")"),0)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IFERROR(__xludf.DUMMYFUNCTION("IMPORTRANGE(""https://docs.google.com/spreadsheets/d/1QqKyyYR6Q21VydFLVH3TRQUabQu_ym0Zz7PgGX0-kHA/edit?usp=sharing"",""แผน!AV33"")"),0)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IFERROR(__xludf.DUMMYFUNCTION("IMPORTRANGE(""https://docs.google.com/spreadsheets/d/1QqKyyYR6Q21VydFLVH3TRQUabQu_ym0Zz7PgGX0-kHA/edit?usp=sharing"",""แผน!AW33"")"),0)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IFERROR(__xludf.DUMMYFUNCTION("IMPORTRANGE(""https://docs.google.com/spreadsheets/d/1QqKyyYR6Q21VydFLVH3TRQUabQu_ym0Zz7PgGX0-kHA/edit?usp=sharing"",""แผน!AX33"")"),0)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IFERROR(__xludf.DUMMYFUNCTION("IMPORTRANGE(""https://docs.google.com/spreadsheets/d/1QqKyyYR6Q21VydFLVH3TRQUabQu_ym0Zz7PgGX0-kHA/edit?usp=sharing"",""แผน!AY33"")"),0)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IFERROR(__xludf.DUMMYFUNCTION("IMPORTRANGE(""https://docs.google.com/spreadsheets/d/1QqKyyYR6Q21VydFLVH3TRQUabQu_ym0Zz7PgGX0-kHA/edit?usp=sharing"",""แผน!BE33"")"),0)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IFERROR(__xludf.DUMMYFUNCTION("IMPORTRANGE(""https://docs.google.com/spreadsheets/d/1QqKyyYR6Q21VydFLVH3TRQUabQu_ym0Zz7PgGX0-kHA/edit?usp=sharing"",""แผน!AZ33"")"),0)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IFERROR(__xludf.DUMMYFUNCTION("IMPORTRANGE(""https://docs.google.com/spreadsheets/d/1QqKyyYR6Q21VydFLVH3TRQUabQu_ym0Zz7PgGX0-kHA/edit?usp=sharing"",""แผน!BA33"")"),0)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IFERROR(__xludf.DUMMYFUNCTION("IMPORTRANGE(""https://docs.google.com/spreadsheets/d/1QqKyyYR6Q21VydFLVH3TRQUabQu_ym0Zz7PgGX0-kHA/edit?usp=sharing"",""แผน!BB33"")"),0)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IFERROR(__xludf.DUMMYFUNCTION("IMPORTRANGE(""https://docs.google.com/spreadsheets/d/1QqKyyYR6Q21VydFLVH3TRQUabQu_ym0Zz7PgGX0-kHA/edit?usp=sharing"",""แผน!BC33"")"),0)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IFERROR(__xludf.DUMMYFUNCTION("IMPORTRANGE(""https://docs.google.com/spreadsheets/d/1QqKyyYR6Q21VydFLVH3TRQUabQu_ym0Zz7PgGX0-kHA/edit?usp=sharing"",""แผน!BF33"")"),0)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26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30700</v>
      </c>
      <c r="M261" s="155">
        <f t="shared" ca="1" si="115"/>
        <v>27700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30700</v>
      </c>
      <c r="M263" s="93">
        <f t="shared" ca="1" si="118"/>
        <v>27700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30700</v>
      </c>
      <c r="M264" s="496">
        <f t="shared" ca="1" si="119"/>
        <v>27700</v>
      </c>
      <c r="N264" s="496">
        <f t="shared" ca="1" si="119"/>
        <v>0</v>
      </c>
      <c r="O264" s="496">
        <f t="shared" ca="1" si="116"/>
        <v>0</v>
      </c>
      <c r="P264" s="496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IFERROR(__xludf.DUMMYFUNCTION("IMPORTRANGE(""https://docs.google.com/spreadsheets/d/1MeEWN-I1oV_STSDYn1IFDPWt_1FKiwhDph83XaGc0o0/edit?usp=sharing"",""งบพรบ!DD33"")"),27700)</f>
        <v>27700</v>
      </c>
      <c r="N266" s="93">
        <f ca="1">IFERROR(__xludf.DUMMYFUNCTION("IMPORTRANGE(""https://docs.google.com/spreadsheets/d/1MeEWN-I1oV_STSDYn1IFDPWt_1FKiwhDph83XaGc0o0/edit?usp=sharing"",""งบพรบ!DF33"")"),0)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IFERROR(__xludf.DUMMYFUNCTION("IMPORTRANGE(""https://docs.google.com/spreadsheets/d/1QqKyyYR6Q21VydFLVH3TRQUabQu_ym0Zz7PgGX0-kHA/edit?usp=sharing"",""แผน!EA33"")"),26)</f>
        <v>26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30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300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288310</v>
      </c>
      <c r="M277" s="155">
        <f t="shared" ca="1" si="124"/>
        <v>134760</v>
      </c>
      <c r="N277" s="155">
        <f t="shared" ca="1" si="124"/>
        <v>47096.3</v>
      </c>
      <c r="O277" s="155">
        <f t="shared" ref="O277:O285" ca="1" si="125">IF(L277&gt;0,N277*100/L277,0)</f>
        <v>16.335298810308348</v>
      </c>
      <c r="P277" s="155">
        <f t="shared" ref="P277:P285" ca="1" si="126">IF(M277&gt;0,N277*100/M277,0)</f>
        <v>34.948278420896408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288310</v>
      </c>
      <c r="M279" s="93">
        <f t="shared" ca="1" si="127"/>
        <v>134760</v>
      </c>
      <c r="N279" s="93">
        <f t="shared" ca="1" si="127"/>
        <v>47096.3</v>
      </c>
      <c r="O279" s="93">
        <f t="shared" ca="1" si="125"/>
        <v>16.335298810308348</v>
      </c>
      <c r="P279" s="93">
        <f t="shared" ca="1" si="126"/>
        <v>34.948278420896408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288310</v>
      </c>
      <c r="M280" s="496">
        <f t="shared" ca="1" si="128"/>
        <v>134760</v>
      </c>
      <c r="N280" s="496">
        <f t="shared" ca="1" si="128"/>
        <v>47096.3</v>
      </c>
      <c r="O280" s="496">
        <f t="shared" ca="1" si="125"/>
        <v>16.335298810308348</v>
      </c>
      <c r="P280" s="496">
        <f t="shared" ca="1" si="126"/>
        <v>34.948278420896408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IFERROR(__xludf.DUMMYFUNCTION("IMPORTRANGE(""https://docs.google.com/spreadsheets/d/1MeEWN-I1oV_STSDYn1IFDPWt_1FKiwhDph83XaGc0o0/edit?usp=sharing"",""งบพรบ!DN33"")"),134760)</f>
        <v>134760</v>
      </c>
      <c r="N282" s="93">
        <f ca="1">IFERROR(__xludf.DUMMYFUNCTION("IMPORTRANGE(""https://docs.google.com/spreadsheets/d/1MeEWN-I1oV_STSDYn1IFDPWt_1FKiwhDph83XaGc0o0/edit?usp=sharing"",""งบพรบ!DP33"")"),47096.3)</f>
        <v>47096.3</v>
      </c>
      <c r="O282" s="93">
        <f t="shared" ca="1" si="125"/>
        <v>16.335298810308348</v>
      </c>
      <c r="P282" s="93">
        <f t="shared" ca="1" si="126"/>
        <v>34.948278420896408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IFERROR(__xludf.DUMMYFUNCTION("IMPORTRANGE(""https://docs.google.com/spreadsheets/d/1QqKyyYR6Q21VydFLVH3TRQUabQu_ym0Zz7PgGX0-kHA/edit?usp=sharing"",""แผน!EC33"")"),300)</f>
        <v>300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IFERROR(__xludf.DUMMYFUNCTION("IMPORTRANGE(""https://docs.google.com/spreadsheets/d/1QqKyyYR6Q21VydFLVH3TRQUabQu_ym0Zz7PgGX0-kHA/edit?usp=sharing"",""แผน!EB33"")"),30)</f>
        <v>30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IFERROR(__xludf.DUMMYFUNCTION("IMPORTRANGE(""https://docs.google.com/spreadsheets/d/1QqKyyYR6Q21VydFLVH3TRQUabQu_ym0Zz7PgGX0-kHA/edit?usp=sharing"",""แผน!EB33"")"),30)</f>
        <v>30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20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82400</v>
      </c>
      <c r="M298" s="155">
        <f t="shared" ca="1" si="134"/>
        <v>49120</v>
      </c>
      <c r="N298" s="155">
        <f t="shared" ca="1" si="134"/>
        <v>4920</v>
      </c>
      <c r="O298" s="155">
        <f t="shared" ref="O298:O306" ca="1" si="135">IF(L298&gt;0,N298*100/L298,0)</f>
        <v>5.9708737864077666</v>
      </c>
      <c r="P298" s="155">
        <f t="shared" ref="P298:P306" ca="1" si="136">IF(M298&gt;0,N298*100/M298,0)</f>
        <v>10.016286644951141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82400</v>
      </c>
      <c r="M300" s="93">
        <f t="shared" ca="1" si="137"/>
        <v>49120</v>
      </c>
      <c r="N300" s="93">
        <f t="shared" ca="1" si="137"/>
        <v>4920</v>
      </c>
      <c r="O300" s="93">
        <f t="shared" ca="1" si="135"/>
        <v>5.9708737864077666</v>
      </c>
      <c r="P300" s="93">
        <f t="shared" ca="1" si="136"/>
        <v>10.016286644951141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82400</v>
      </c>
      <c r="M301" s="496">
        <f t="shared" ca="1" si="138"/>
        <v>49120</v>
      </c>
      <c r="N301" s="496">
        <f t="shared" ca="1" si="138"/>
        <v>4920</v>
      </c>
      <c r="O301" s="496">
        <f t="shared" ca="1" si="135"/>
        <v>5.9708737864077666</v>
      </c>
      <c r="P301" s="496">
        <f t="shared" ca="1" si="136"/>
        <v>10.016286644951141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IFERROR(__xludf.DUMMYFUNCTION("IMPORTRANGE(""https://docs.google.com/spreadsheets/d/1MeEWN-I1oV_STSDYn1IFDPWt_1FKiwhDph83XaGc0o0/edit?usp=sharing"",""งบพรบ!DX33"")"),49120)</f>
        <v>49120</v>
      </c>
      <c r="N303" s="93">
        <f ca="1">IFERROR(__xludf.DUMMYFUNCTION("IMPORTRANGE(""https://docs.google.com/spreadsheets/d/1MeEWN-I1oV_STSDYn1IFDPWt_1FKiwhDph83XaGc0o0/edit?usp=sharing"",""งบพรบ!DZ33"")"),4920)</f>
        <v>4920</v>
      </c>
      <c r="O303" s="93">
        <f t="shared" ca="1" si="135"/>
        <v>5.9708737864077666</v>
      </c>
      <c r="P303" s="93">
        <f t="shared" ca="1" si="136"/>
        <v>10.016286644951141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IFERROR(__xludf.DUMMYFUNCTION("IMPORTRANGE(""https://docs.google.com/spreadsheets/d/1QqKyyYR6Q21VydFLVH3TRQUabQu_ym0Zz7PgGX0-kHA/edit?usp=sharing"",""แผน!ED33"")"),20)</f>
        <v>20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IFERROR(__xludf.DUMMYFUNCTION("IMPORTRANGE(""https://docs.google.com/spreadsheets/d/1QqKyyYR6Q21VydFLVH3TRQUabQu_ym0Zz7PgGX0-kHA/edit?usp=sharing"",""แผน!ED33"")"),20)</f>
        <v>20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IFERROR(__xludf.DUMMYFUNCTION("IMPORTRANGE(""https://docs.google.com/spreadsheets/d/1QqKyyYR6Q21VydFLVH3TRQUabQu_ym0Zz7PgGX0-kHA/edit?usp=sharing"",""แผน!ED33"")"),20)</f>
        <v>20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IFERROR(__xludf.DUMMYFUNCTION("IMPORTRANGE(""https://docs.google.com/spreadsheets/d/1QqKyyYR6Q21VydFLVH3TRQUabQu_ym0Zz7PgGX0-kHA/edit?usp=sharing"",""แผน!EE33"")"),4)</f>
        <v>4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IFERROR(__xludf.DUMMYFUNCTION("IMPORTRANGE(""https://docs.google.com/spreadsheets/d/1QqKyyYR6Q21VydFLVH3TRQUabQu_ym0Zz7PgGX0-kHA/edit?usp=sharing"",""แผน!EF33"")"),0)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IFERROR(__xludf.DUMMYFUNCTION("IMPORTRANGE(""https://docs.google.com/spreadsheets/d/1QqKyyYR6Q21VydFLVH3TRQUabQu_ym0Zz7PgGX0-kHA/edit?usp=sharing"",""แผน!EG33"")"),4300)</f>
        <v>4300</v>
      </c>
      <c r="J327" s="443">
        <f ca="1">J338+J341+J342+J343</f>
        <v>922</v>
      </c>
      <c r="K327" s="444">
        <f ca="1">IF(I327&gt;0,J327*100/I327,0)</f>
        <v>21.441860465116278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183000</v>
      </c>
      <c r="M328" s="155">
        <f t="shared" ca="1" si="148"/>
        <v>91500</v>
      </c>
      <c r="N328" s="155">
        <f t="shared" ca="1" si="148"/>
        <v>8440</v>
      </c>
      <c r="O328" s="155">
        <f t="shared" ref="O328:O336" ca="1" si="149">IF(L328&gt;0,N328*100/L328,0)</f>
        <v>4.6120218579234971</v>
      </c>
      <c r="P328" s="155">
        <f t="shared" ref="P328:P336" ca="1" si="150">IF(M328&gt;0,N328*100/M328,0)</f>
        <v>9.2240437158469941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183000</v>
      </c>
      <c r="M330" s="93">
        <f t="shared" ca="1" si="151"/>
        <v>91500</v>
      </c>
      <c r="N330" s="93">
        <f t="shared" ca="1" si="151"/>
        <v>8440</v>
      </c>
      <c r="O330" s="93">
        <f t="shared" ca="1" si="149"/>
        <v>4.6120218579234971</v>
      </c>
      <c r="P330" s="93">
        <f t="shared" ca="1" si="150"/>
        <v>9.2240437158469941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183000</v>
      </c>
      <c r="M331" s="496">
        <f t="shared" ca="1" si="152"/>
        <v>91500</v>
      </c>
      <c r="N331" s="496">
        <f t="shared" ca="1" si="152"/>
        <v>8440</v>
      </c>
      <c r="O331" s="496">
        <f t="shared" ca="1" si="149"/>
        <v>4.6120218579234971</v>
      </c>
      <c r="P331" s="496">
        <f t="shared" ca="1" si="150"/>
        <v>9.2240437158469941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IFERROR(__xludf.DUMMYFUNCTION("IMPORTRANGE(""https://docs.google.com/spreadsheets/d/1MeEWN-I1oV_STSDYn1IFDPWt_1FKiwhDph83XaGc0o0/edit?usp=sharing"",""งบพรบ!ER33"")"),91500)</f>
        <v>91500</v>
      </c>
      <c r="N333" s="93">
        <f ca="1">IFERROR(__xludf.DUMMYFUNCTION("IMPORTRANGE(""https://docs.google.com/spreadsheets/d/1MeEWN-I1oV_STSDYn1IFDPWt_1FKiwhDph83XaGc0o0/edit?usp=sharing"",""งบพรบ!ET33"")"),8440)</f>
        <v>8440</v>
      </c>
      <c r="O333" s="93">
        <f t="shared" ca="1" si="149"/>
        <v>4.6120218579234971</v>
      </c>
      <c r="P333" s="93">
        <f t="shared" ca="1" si="150"/>
        <v>9.2240437158469941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IFERROR(__xludf.DUMMYFUNCTION("IMPORTRANGE(""https://docs.google.com/spreadsheets/d/1QqKyyYR6Q21VydFLVH3TRQUabQu_ym0Zz7PgGX0-kHA/edit?usp=sharing"",""แผน!EG33"")"),4300)</f>
        <v>4300</v>
      </c>
      <c r="J338" s="269">
        <f ca="1">IFERROR(__xludf.DUMMYFUNCTION("IMPORTRANGE(""https://docs.google.com/spreadsheets/d/1kVcqe37tkHyjCSG3S0O1AXqVkqjo8mSIZil3BcpIysc/edit?usp=sharing"",""ศูนย์!D33"")"),809)</f>
        <v>809</v>
      </c>
      <c r="K338" s="496">
        <f ca="1">IF(I338&gt;0,J338*100/I338,0)</f>
        <v>18.813953488372093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IFERROR(__xludf.DUMMYFUNCTION("IMPORTRANGE(""https://docs.google.com/spreadsheets/d/1QqKyyYR6Q21VydFLVH3TRQUabQu_ym0Zz7PgGX0-kHA/edit?usp=sharing"",""แผน!EH33"")"),10)</f>
        <v>10</v>
      </c>
      <c r="J340" s="269">
        <f ca="1">IFERROR(__xludf.DUMMYFUNCTION("IMPORTRANGE(""https://docs.google.com/spreadsheets/d/1kVcqe37tkHyjCSG3S0O1AXqVkqjo8mSIZil3BcpIysc/edit?usp=sharing"",""ศูนย์!E33"")"),2)</f>
        <v>2</v>
      </c>
      <c r="K340" s="496">
        <f ca="1">IF(I340&gt;0,J340*100/I340,0)</f>
        <v>20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IFERROR(__xludf.DUMMYFUNCTION("IMPORTRANGE(""https://docs.google.com/spreadsheets/d/1kVcqe37tkHyjCSG3S0O1AXqVkqjo8mSIZil3BcpIysc/edit?usp=sharing"",""ศูนย์!F33"")"),113)</f>
        <v>113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IFERROR(__xludf.DUMMYFUNCTION("IMPORTRANGE(""https://docs.google.com/spreadsheets/d/1kVcqe37tkHyjCSG3S0O1AXqVkqjo8mSIZil3BcpIysc/edit?usp=sharing"",""ศูนย์!G33"")"),0)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IFERROR(__xludf.DUMMYFUNCTION("IMPORTRANGE(""https://docs.google.com/spreadsheets/d/1kVcqe37tkHyjCSG3S0O1AXqVkqjo8mSIZil3BcpIysc/edit?usp=sharing"",""ศูนย์!H33"")"),0)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1082650</v>
      </c>
      <c r="M345" s="155">
        <f t="shared" ca="1" si="154"/>
        <v>589630</v>
      </c>
      <c r="N345" s="155">
        <f t="shared" ca="1" si="154"/>
        <v>419364.73</v>
      </c>
      <c r="O345" s="155">
        <f t="shared" ref="O345:O353" ca="1" si="155">IF(L345&gt;0,N345*100/L345,0)</f>
        <v>38.735023322403364</v>
      </c>
      <c r="P345" s="155">
        <f t="shared" ref="P345:P353" ca="1" si="156">IF(M345&gt;0,N345*100/M345,0)</f>
        <v>71.123370588335064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1082650</v>
      </c>
      <c r="M347" s="93">
        <f t="shared" ca="1" si="157"/>
        <v>589630</v>
      </c>
      <c r="N347" s="93">
        <f t="shared" ca="1" si="157"/>
        <v>419364.73</v>
      </c>
      <c r="O347" s="93">
        <f t="shared" ca="1" si="155"/>
        <v>38.735023322403364</v>
      </c>
      <c r="P347" s="93">
        <f t="shared" ca="1" si="156"/>
        <v>71.123370588335064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984850</v>
      </c>
      <c r="M348" s="496">
        <f t="shared" ca="1" si="158"/>
        <v>492430</v>
      </c>
      <c r="N348" s="496">
        <f t="shared" ca="1" si="158"/>
        <v>322164.73</v>
      </c>
      <c r="O348" s="496">
        <f t="shared" ca="1" si="155"/>
        <v>32.712060719906582</v>
      </c>
      <c r="P348" s="496">
        <f t="shared" ca="1" si="156"/>
        <v>65.423457141116501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IFERROR(__xludf.DUMMYFUNCTION("IMPORTRANGE(""https://docs.google.com/spreadsheets/d/1MeEWN-I1oV_STSDYn1IFDPWt_1FKiwhDph83XaGc0o0/edit?usp=sharing"",""งบพรบ!FB33"")"),492430)</f>
        <v>492430</v>
      </c>
      <c r="N350" s="93">
        <f ca="1">IFERROR(__xludf.DUMMYFUNCTION("IMPORTRANGE(""https://docs.google.com/spreadsheets/d/1MeEWN-I1oV_STSDYn1IFDPWt_1FKiwhDph83XaGc0o0/edit?usp=sharing"",""งบพรบ!FD33"")"),322164.73)</f>
        <v>322164.73</v>
      </c>
      <c r="O350" s="93">
        <f t="shared" ca="1" si="155"/>
        <v>32.712060719906582</v>
      </c>
      <c r="P350" s="93">
        <f t="shared" ca="1" si="156"/>
        <v>65.423457141116501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97800</v>
      </c>
      <c r="M351" s="496">
        <f t="shared" ca="1" si="159"/>
        <v>97200</v>
      </c>
      <c r="N351" s="496">
        <f t="shared" ca="1" si="159"/>
        <v>97200</v>
      </c>
      <c r="O351" s="496">
        <f t="shared" ca="1" si="155"/>
        <v>99.386503067484668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5"/>
        <v>99.386503067484668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IFERROR(__xludf.DUMMYFUNCTION("IMPORTRANGE(""https://docs.google.com/spreadsheets/d/1QqKyyYR6Q21VydFLVH3TRQUabQu_ym0Zz7PgGX0-kHA/edit?usp=sharing"",""แผน!EP33"")"),450)</f>
        <v>450</v>
      </c>
      <c r="J355" s="463">
        <f ca="1">J362</f>
        <v>21</v>
      </c>
      <c r="K355" s="464">
        <f ca="1">IF(I355&gt;0,J355*100/I355,0)</f>
        <v>4.666666666666667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IFERROR(__xludf.DUMMYFUNCTION("IMPORTRANGE(""https://docs.google.com/spreadsheets/d/1XWAQStnk-4SwqDmLtmXYiTMKHgktTP8We1SCoS47DrQ/edit?usp=sharing"",""จัดที่ดิน!W33"")"),29)</f>
        <v>29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IFERROR(__xludf.DUMMYFUNCTION("IMPORTRANGE(""https://docs.google.com/spreadsheets/d/1QqKyyYR6Q21VydFLVH3TRQUabQu_ym0Zz7PgGX0-kHA/edit?usp=sharing"",""แผน!EO33"")"),4500)</f>
        <v>4500</v>
      </c>
      <c r="J359" s="269">
        <f ca="1">IFERROR(__xludf.DUMMYFUNCTION("IMPORTRANGE(""https://docs.google.com/spreadsheets/d/1XWAQStnk-4SwqDmLtmXYiTMKHgktTP8We1SCoS47DrQ/edit?usp=sharing"",""จัดที่ดิน!X33"")"),205.43)</f>
        <v>205.43</v>
      </c>
      <c r="K359" s="496">
        <f t="shared" ca="1" si="160"/>
        <v>4.5651111111111113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IFERROR(__xludf.DUMMYFUNCTION("IMPORTRANGE(""https://docs.google.com/spreadsheets/d/1QqKyyYR6Q21VydFLVH3TRQUabQu_ym0Zz7PgGX0-kHA/edit?usp=sharing"",""แผน!EP33"")"),450)</f>
        <v>450</v>
      </c>
      <c r="J360" s="269">
        <f ca="1">IFERROR(__xludf.DUMMYFUNCTION("IMPORTRANGE(""https://docs.google.com/spreadsheets/d/1XWAQStnk-4SwqDmLtmXYiTMKHgktTP8We1SCoS47DrQ/edit?usp=sharing"",""จัดที่ดิน!Y33"")"),21)</f>
        <v>21</v>
      </c>
      <c r="K360" s="496">
        <f t="shared" ca="1" si="160"/>
        <v>4.666666666666667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IFERROR(__xludf.DUMMYFUNCTION("IMPORTRANGE(""https://docs.google.com/spreadsheets/d/1XWAQStnk-4SwqDmLtmXYiTMKHgktTP8We1SCoS47DrQ/edit?usp=sharing"",""จัดที่ดิน!Z33"")"),174.31)</f>
        <v>174.31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IFERROR(__xludf.DUMMYFUNCTION("IMPORTRANGE(""https://docs.google.com/spreadsheets/d/1QqKyyYR6Q21VydFLVH3TRQUabQu_ym0Zz7PgGX0-kHA/edit?usp=sharing"",""แผน!EP33"")"),450)</f>
        <v>450</v>
      </c>
      <c r="J362" s="269">
        <f ca="1">IFERROR(__xludf.DUMMYFUNCTION("IMPORTRANGE(""https://docs.google.com/spreadsheets/d/1XWAQStnk-4SwqDmLtmXYiTMKHgktTP8We1SCoS47DrQ/edit?usp=sharing"",""จัดที่ดิน!AA33"")"),21)</f>
        <v>21</v>
      </c>
      <c r="K362" s="496">
        <f t="shared" ca="1" si="160"/>
        <v>4.666666666666667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IFERROR(__xludf.DUMMYFUNCTION("IMPORTRANGE(""https://docs.google.com/spreadsheets/d/1XWAQStnk-4SwqDmLtmXYiTMKHgktTP8We1SCoS47DrQ/edit?usp=sharing"",""จัดที่ดิน!AB33"")"),174.31)</f>
        <v>174.31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950</v>
      </c>
      <c r="J364" s="477">
        <f t="shared" ca="1" si="161"/>
        <v>66</v>
      </c>
      <c r="K364" s="478">
        <f t="shared" ca="1" si="160"/>
        <v>6.9473684210526319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IFERROR(__xludf.DUMMYFUNCTION("IMPORTRANGE(""https://docs.google.com/spreadsheets/d/1QqKyyYR6Q21VydFLVH3TRQUabQu_ym0Zz7PgGX0-kHA/edit?usp=sharing"",""แผน!EJ33"")"),100)</f>
        <v>100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IFERROR(__xludf.DUMMYFUNCTION("IMPORTRANGE(""https://docs.google.com/spreadsheets/d/1XWAQStnk-4SwqDmLtmXYiTMKHgktTP8We1SCoS47DrQ/edit?usp=sharing"",""จัดที่ดิน!E33"")"),8)</f>
        <v>8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IFERROR(__xludf.DUMMYFUNCTION("IMPORTRANGE(""https://docs.google.com/spreadsheets/d/1QqKyyYR6Q21VydFLVH3TRQUabQu_ym0Zz7PgGX0-kHA/edit?usp=sharing"",""แผน!EI33"")"),1000)</f>
        <v>1000</v>
      </c>
      <c r="J369" s="269">
        <f ca="1">IFERROR(__xludf.DUMMYFUNCTION("IMPORTRANGE(""https://docs.google.com/spreadsheets/d/1XWAQStnk-4SwqDmLtmXYiTMKHgktTP8We1SCoS47DrQ/edit?usp=sharing"",""จัดที่ดิน!F33"")"),31.12)</f>
        <v>31.12</v>
      </c>
      <c r="K369" s="496">
        <f t="shared" ca="1" si="162"/>
        <v>3.1120000000000001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IFERROR(__xludf.DUMMYFUNCTION("IMPORTRANGE(""https://docs.google.com/spreadsheets/d/1QqKyyYR6Q21VydFLVH3TRQUabQu_ym0Zz7PgGX0-kHA/edit?usp=sharing"",""แผน!EJ33"")"),100)</f>
        <v>100</v>
      </c>
      <c r="J370" s="269">
        <f ca="1">IFERROR(__xludf.DUMMYFUNCTION("IMPORTRANGE(""https://docs.google.com/spreadsheets/d/1XWAQStnk-4SwqDmLtmXYiTMKHgktTP8We1SCoS47DrQ/edit?usp=sharing"",""จัดที่ดิน!G33"")"),0)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IFERROR(__xludf.DUMMYFUNCTION("IMPORTRANGE(""https://docs.google.com/spreadsheets/d/1XWAQStnk-4SwqDmLtmXYiTMKHgktTP8We1SCoS47DrQ/edit?usp=sharing"",""จัดที่ดิน!H33"")"),0)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IFERROR(__xludf.DUMMYFUNCTION("IMPORTRANGE(""https://docs.google.com/spreadsheets/d/1QqKyyYR6Q21VydFLVH3TRQUabQu_ym0Zz7PgGX0-kHA/edit?usp=sharing"",""แผน!EJ33"")"),100)</f>
        <v>100</v>
      </c>
      <c r="J372" s="269">
        <f ca="1">IFERROR(__xludf.DUMMYFUNCTION("IMPORTRANGE(""https://docs.google.com/spreadsheets/d/1XWAQStnk-4SwqDmLtmXYiTMKHgktTP8We1SCoS47DrQ/edit?usp=sharing"",""จัดที่ดิน!I33"")"),0)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IFERROR(__xludf.DUMMYFUNCTION("IMPORTRANGE(""https://docs.google.com/spreadsheets/d/1XWAQStnk-4SwqDmLtmXYiTMKHgktTP8We1SCoS47DrQ/edit?usp=sharing"",""จัดที่ดิน!J33"")"),0)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IFERROR(__xludf.DUMMYFUNCTION("IMPORTRANGE(""https://docs.google.com/spreadsheets/d/1QqKyyYR6Q21VydFLVH3TRQUabQu_ym0Zz7PgGX0-kHA/edit?usp=sharing"",""แผน!EU33"")"),850)</f>
        <v>850</v>
      </c>
      <c r="J374" s="489">
        <f ca="1">J381</f>
        <v>66</v>
      </c>
      <c r="K374" s="490">
        <f t="shared" ca="1" si="162"/>
        <v>7.7647058823529411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IFERROR(__xludf.DUMMYFUNCTION("IMPORTRANGE(""https://docs.google.com/spreadsheets/d/1XWAQStnk-4SwqDmLtmXYiTMKHgktTP8We1SCoS47DrQ/edit?usp=sharing"",""จัดที่ดิน!AH33"")"),21)</f>
        <v>21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IFERROR(__xludf.DUMMYFUNCTION("IMPORTRANGE(""https://docs.google.com/spreadsheets/d/1QqKyyYR6Q21VydFLVH3TRQUabQu_ym0Zz7PgGX0-kHA/edit?usp=sharing"",""แผน!ET33"")"),3500)</f>
        <v>3500</v>
      </c>
      <c r="J378" s="269">
        <f ca="1">IFERROR(__xludf.DUMMYFUNCTION("IMPORTRANGE(""https://docs.google.com/spreadsheets/d/1XWAQStnk-4SwqDmLtmXYiTMKHgktTP8We1SCoS47DrQ/edit?usp=sharing"",""จัดที่ดิน!AI33"")"),174.31)</f>
        <v>174.31</v>
      </c>
      <c r="K378" s="496">
        <f t="shared" ca="1" si="163"/>
        <v>4.9802857142857144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IFERROR(__xludf.DUMMYFUNCTION("IMPORTRANGE(""https://docs.google.com/spreadsheets/d/1QqKyyYR6Q21VydFLVH3TRQUabQu_ym0Zz7PgGX0-kHA/edit?usp=sharing"",""แผน!EU33"")"),850)</f>
        <v>850</v>
      </c>
      <c r="J379" s="269">
        <f ca="1">IFERROR(__xludf.DUMMYFUNCTION("IMPORTRANGE(""https://docs.google.com/spreadsheets/d/1XWAQStnk-4SwqDmLtmXYiTMKHgktTP8We1SCoS47DrQ/edit?usp=sharing"",""จัดที่ดิน!AJ33"")"),242)</f>
        <v>242</v>
      </c>
      <c r="K379" s="496">
        <f t="shared" ca="1" si="163"/>
        <v>28.470588235294116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IFERROR(__xludf.DUMMYFUNCTION("IMPORTRANGE(""https://docs.google.com/spreadsheets/d/1XWAQStnk-4SwqDmLtmXYiTMKHgktTP8We1SCoS47DrQ/edit?usp=sharing"",""จัดที่ดิน!AK33"")"),2911.96)</f>
        <v>2911.96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IFERROR(__xludf.DUMMYFUNCTION("IMPORTRANGE(""https://docs.google.com/spreadsheets/d/1QqKyyYR6Q21VydFLVH3TRQUabQu_ym0Zz7PgGX0-kHA/edit?usp=sharing"",""แผน!EU33"")"),850)</f>
        <v>850</v>
      </c>
      <c r="J381" s="269">
        <f ca="1">IFERROR(__xludf.DUMMYFUNCTION("IMPORTRANGE(""https://docs.google.com/spreadsheets/d/1XWAQStnk-4SwqDmLtmXYiTMKHgktTP8We1SCoS47DrQ/edit?usp=sharing"",""จัดที่ดิน!AL33"")"),66)</f>
        <v>66</v>
      </c>
      <c r="K381" s="496">
        <f t="shared" ca="1" si="163"/>
        <v>7.7647058823529411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IFERROR(__xludf.DUMMYFUNCTION("IMPORTRANGE(""https://docs.google.com/spreadsheets/d/1XWAQStnk-4SwqDmLtmXYiTMKHgktTP8We1SCoS47DrQ/edit?usp=sharing"",""จัดที่ดิน!AM33"")"),689.69)</f>
        <v>689.69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IFERROR(__xludf.DUMMYFUNCTION("IMPORTRANGE(""https://docs.google.com/spreadsheets/d/1QqKyyYR6Q21VydFLVH3TRQUabQu_ym0Zz7PgGX0-kHA/edit?usp=sharing"",""แผน!EW33"")"),20)</f>
        <v>20</v>
      </c>
      <c r="J385" s="499">
        <f ca="1">IFERROR(__xludf.DUMMYFUNCTION("IMPORTRANGE(""https://docs.google.com/spreadsheets/d/1XWAQStnk-4SwqDmLtmXYiTMKHgktTP8We1SCoS47DrQ/edit?usp=sharing"",""จัดที่ดิน!AP33"")"),0)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1586261</v>
      </c>
      <c r="M414" s="547">
        <f t="shared" si="180"/>
        <v>0</v>
      </c>
      <c r="N414" s="547">
        <f t="shared" si="180"/>
        <v>92744.33</v>
      </c>
      <c r="O414" s="547">
        <f ca="1">IF(L414&gt;0,N414*100/L414,0)</f>
        <v>5.8467257279854952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6500</v>
      </c>
      <c r="O419" s="155">
        <f t="shared" ref="O419:O424" ca="1" si="184">IF(L419&gt;0,N419*100/L419,0)</f>
        <v>8.2634121535723359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6500</v>
      </c>
      <c r="O421" s="93">
        <f t="shared" ca="1" si="184"/>
        <v>8.2634121535723359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6500</v>
      </c>
      <c r="O422" s="496">
        <f t="shared" ca="1" si="184"/>
        <v>8.2634121535723359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v>0</v>
      </c>
      <c r="N424" s="93">
        <f>N425+N426+N427+N428</f>
        <v>6500</v>
      </c>
      <c r="O424" s="93">
        <f t="shared" ca="1" si="184"/>
        <v>8.2634121535723359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6500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IFERROR(__xludf.DUMMYFUNCTION("IMPORTRANGE(""https://docs.google.com/spreadsheets/d/1QqKyyYR6Q21VydFLVH3TRQUabQu_ym0Zz7PgGX0-kHA/edit?usp=sharing"",""แผน!FC33"")"),20)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IFERROR(__xludf.DUMMYFUNCTION("IMPORTRANGE(""https://docs.google.com/spreadsheets/d/1QqKyyYR6Q21VydFLVH3TRQUabQu_ym0Zz7PgGX0-kHA/edit?usp=sharing"",""แผน!FD33"")"),0)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IFERROR(__xludf.DUMMYFUNCTION("IMPORTRANGE(""https://docs.google.com/spreadsheets/d/1QqKyyYR6Q21VydFLVH3TRQUabQu_ym0Zz7PgGX0-kHA/edit?usp=sharing"",""แผน!FE33"")"),0)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IFERROR(__xludf.DUMMYFUNCTION("IMPORTRANGE(""https://docs.google.com/spreadsheets/d/1QqKyyYR6Q21VydFLVH3TRQUabQu_ym0Zz7PgGX0-kHA/edit?usp=sharing"",""แผน!FF33"")"),20)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IFERROR(__xludf.DUMMYFUNCTION("IMPORTRANGE(""https://docs.google.com/spreadsheets/d/1QqKyyYR6Q21VydFLVH3TRQUabQu_ym0Zz7PgGX0-kHA/edit?usp=sharing"",""แผน!FG33"")"),1)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IFERROR(__xludf.DUMMYFUNCTION("IMPORTRANGE(""https://docs.google.com/spreadsheets/d/1QqKyyYR6Q21VydFLVH3TRQUabQu_ym0Zz7PgGX0-kHA/edit?usp=sharing"",""แผน!FH33"")"),0)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55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95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355800</v>
      </c>
      <c r="M444" s="195">
        <f t="shared" si="196"/>
        <v>0</v>
      </c>
      <c r="N444" s="195">
        <f t="shared" si="196"/>
        <v>19333.330000000002</v>
      </c>
      <c r="O444" s="195">
        <f t="shared" ref="O444:O449" ca="1" si="197">IF(L444&gt;0,N444*100/L444,0)</f>
        <v>5.4337633501967408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355800</v>
      </c>
      <c r="M446" s="93">
        <f t="shared" si="199"/>
        <v>0</v>
      </c>
      <c r="N446" s="93">
        <f t="shared" si="199"/>
        <v>19333.330000000002</v>
      </c>
      <c r="O446" s="93">
        <f t="shared" ca="1" si="197"/>
        <v>5.4337633501967408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355800</v>
      </c>
      <c r="M447" s="496">
        <f t="shared" si="200"/>
        <v>0</v>
      </c>
      <c r="N447" s="496">
        <f t="shared" si="200"/>
        <v>19333.330000000002</v>
      </c>
      <c r="O447" s="496">
        <f t="shared" ca="1" si="197"/>
        <v>5.4337633501967408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IFERROR(__xludf.DUMMYFUNCTION("IMPORTRANGE(""https://docs.google.com/spreadsheets/d/1QqKyyYR6Q21VydFLVH3TRQUabQu_ym0Zz7PgGX0-kHA/edit?usp=sharing"",""แผน!FJ33"")"),355800)</f>
        <v>355800</v>
      </c>
      <c r="M449" s="93">
        <v>0</v>
      </c>
      <c r="N449" s="93">
        <f>N450+N451+N452+N453</f>
        <v>19333.330000000002</v>
      </c>
      <c r="O449" s="93">
        <f t="shared" ca="1" si="197"/>
        <v>5.4337633501967408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12133.33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7200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IFERROR(__xludf.DUMMYFUNCTION("IMPORTRANGE(""https://docs.google.com/spreadsheets/d/1QqKyyYR6Q21VydFLVH3TRQUabQu_ym0Zz7PgGX0-kHA/edit?usp=sharing"",""แผน!FN33"")"),55)</f>
        <v>55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IFERROR(__xludf.DUMMYFUNCTION("IMPORTRANGE(""https://docs.google.com/spreadsheets/d/1QqKyyYR6Q21VydFLVH3TRQUabQu_ym0Zz7PgGX0-kHA/edit?usp=sharing"",""แผน!FO33"")"),95)</f>
        <v>95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IFERROR(__xludf.DUMMYFUNCTION("IMPORTRANGE(""https://docs.google.com/spreadsheets/d/1QqKyyYR6Q21VydFLVH3TRQUabQu_ym0Zz7PgGX0-kHA/edit?usp=sharing"",""แผน!FO33"")"),95)</f>
        <v>95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IFERROR(__xludf.DUMMYFUNCTION("IMPORTRANGE(""https://docs.google.com/spreadsheets/d/1QqKyyYR6Q21VydFLVH3TRQUabQu_ym0Zz7PgGX0-kHA/edit?usp=sharing"",""แผน!FN33"")"),55)</f>
        <v>55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IFERROR(__xludf.DUMMYFUNCTION("IMPORTRANGE(""https://docs.google.com/spreadsheets/d/1QqKyyYR6Q21VydFLVH3TRQUabQu_ym0Zz7PgGX0-kHA/edit?usp=sharing"",""แผน!FX33"")"),61)</f>
        <v>61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IFERROR(__xludf.DUMMYFUNCTION("IMPORTRANGE(""https://docs.google.com/spreadsheets/d/1QqKyyYR6Q21VydFLVH3TRQUabQu_ym0Zz7PgGX0-kHA/edit?usp=sharing"",""แผน!FW33"")"),600)</f>
        <v>600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481323</v>
      </c>
      <c r="M467" s="195">
        <f t="shared" si="205"/>
        <v>0</v>
      </c>
      <c r="N467" s="195">
        <f t="shared" si="205"/>
        <v>8840</v>
      </c>
      <c r="O467" s="195">
        <f t="shared" ref="O467:O472" ca="1" si="206">IF(L467&gt;0,N467*100/L467,0)</f>
        <v>1.8366045254434133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481323</v>
      </c>
      <c r="M469" s="93">
        <f t="shared" si="208"/>
        <v>0</v>
      </c>
      <c r="N469" s="93">
        <f t="shared" si="208"/>
        <v>8840</v>
      </c>
      <c r="O469" s="93">
        <f t="shared" ca="1" si="206"/>
        <v>1.8366045254434133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481323</v>
      </c>
      <c r="M470" s="496">
        <f t="shared" si="209"/>
        <v>0</v>
      </c>
      <c r="N470" s="496">
        <f t="shared" si="209"/>
        <v>8840</v>
      </c>
      <c r="O470" s="496">
        <f t="shared" ca="1" si="206"/>
        <v>1.8366045254434133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IFERROR(__xludf.DUMMYFUNCTION("IMPORTRANGE(""https://docs.google.com/spreadsheets/d/1QqKyyYR6Q21VydFLVH3TRQUabQu_ym0Zz7PgGX0-kHA/edit?usp=sharing"",""แผน!FS33"")"),481323)</f>
        <v>481323</v>
      </c>
      <c r="M472" s="93">
        <v>0</v>
      </c>
      <c r="N472" s="93">
        <f>N473+N474+N475+N476</f>
        <v>8840</v>
      </c>
      <c r="O472" s="93">
        <f t="shared" ca="1" si="206"/>
        <v>1.8366045254434133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720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8120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IFERROR(__xludf.DUMMYFUNCTION("IMPORTRANGE(""https://docs.google.com/spreadsheets/d/1QqKyyYR6Q21VydFLVH3TRQUabQu_ym0Zz7PgGX0-kHA/edit?usp=sharing"",""แผน!FY33"")"),540)</f>
        <v>540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IFERROR(__xludf.DUMMYFUNCTION("IMPORTRANGE(""https://docs.google.com/spreadsheets/d/1QqKyyYR6Q21VydFLVH3TRQUabQu_ym0Zz7PgGX0-kHA/edit?usp=sharing"",""แผน!FZ33"")"),54)</f>
        <v>54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IFERROR(__xludf.DUMMYFUNCTION("IMPORTRANGE(""https://docs.google.com/spreadsheets/d/1QqKyyYR6Q21VydFLVH3TRQUabQu_ym0Zz7PgGX0-kHA/edit?usp=sharing"",""แผน!GA33"")"),60)</f>
        <v>60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IFERROR(__xludf.DUMMYFUNCTION("IMPORTRANGE(""https://docs.google.com/spreadsheets/d/1QqKyyYR6Q21VydFLVH3TRQUabQu_ym0Zz7PgGX0-kHA/edit?usp=sharing"",""แผน!GB33"")"),6)</f>
        <v>6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IFERROR(__xludf.DUMMYFUNCTION("IMPORTRANGE(""https://docs.google.com/spreadsheets/d/1QqKyyYR6Q21VydFLVH3TRQUabQu_ym0Zz7PgGX0-kHA/edit?usp=sharing"",""แผน!GC33"")"),1)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IFERROR(__xludf.DUMMYFUNCTION("IMPORTRANGE(""https://docs.google.com/spreadsheets/d/1QqKyyYR6Q21VydFLVH3TRQUabQu_ym0Zz7PgGX0-kHA/edit?usp=sharing"",""แผน!FY33"")"),540)</f>
        <v>540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IFERROR(__xludf.DUMMYFUNCTION("IMPORTRANGE(""https://docs.google.com/spreadsheets/d/1QqKyyYR6Q21VydFLVH3TRQUabQu_ym0Zz7PgGX0-kHA/edit?usp=sharing"",""แผน!GA33"")"),60)</f>
        <v>60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IFERROR(__xludf.DUMMYFUNCTION("IMPORTRANGE(""https://docs.google.com/spreadsheets/d/1QqKyyYR6Q21VydFLVH3TRQUabQu_ym0Zz7PgGX0-kHA/edit?usp=sharing"",""แผน!GU33"")"),0)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IFERROR(__xludf.DUMMYFUNCTION("IMPORTRANGE(""https://docs.google.com/spreadsheets/d/1QqKyyYR6Q21VydFLVH3TRQUabQu_ym0Zz7PgGX0-kHA/edit?usp=sharing"",""แผน!GV33"")"),0)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IFERROR(__xludf.DUMMYFUNCTION("IMPORTRANGE(""https://docs.google.com/spreadsheets/d/1QqKyyYR6Q21VydFLVH3TRQUabQu_ym0Zz7PgGX0-kHA/edit?usp=sharing"",""แผน!GW33"")"),0)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IFERROR(__xludf.DUMMYFUNCTION("IMPORTRANGE(""https://docs.google.com/spreadsheets/d/1QqKyyYR6Q21VydFLVH3TRQUabQu_ym0Zz7PgGX0-kHA/edit?usp=sharing"",""แผน!GX33"")"),0)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IFERROR(__xludf.DUMMYFUNCTION("IMPORTRANGE(""https://docs.google.com/spreadsheets/d/1QqKyyYR6Q21VydFLVH3TRQUabQu_ym0Zz7PgGX0-kHA/edit?usp=sharing"",""แผน!GY33"")"),0)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IFERROR(__xludf.DUMMYFUNCTION("IMPORTRANGE(""https://docs.google.com/spreadsheets/d/1QqKyyYR6Q21VydFLVH3TRQUabQu_ym0Zz7PgGX0-kHA/edit?usp=sharing"",""แผน!GZ33"")"),0)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73574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431073</v>
      </c>
      <c r="M544" s="155">
        <f t="shared" si="235"/>
        <v>0</v>
      </c>
      <c r="N544" s="155">
        <f t="shared" si="235"/>
        <v>58071</v>
      </c>
      <c r="O544" s="155">
        <f t="shared" ref="O544:O549" ca="1" si="236">IF(L544&gt;0,N544*100/L544,0)</f>
        <v>13.471268207472979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431073</v>
      </c>
      <c r="M546" s="93">
        <f t="shared" si="239"/>
        <v>0</v>
      </c>
      <c r="N546" s="93">
        <f t="shared" si="239"/>
        <v>58071</v>
      </c>
      <c r="O546" s="93">
        <f t="shared" ca="1" si="236"/>
        <v>13.471268207472979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431073</v>
      </c>
      <c r="M547" s="496">
        <f t="shared" si="240"/>
        <v>0</v>
      </c>
      <c r="N547" s="496">
        <f t="shared" si="240"/>
        <v>58071</v>
      </c>
      <c r="O547" s="496">
        <f t="shared" ca="1" si="236"/>
        <v>13.471268207472979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IFERROR(__xludf.DUMMYFUNCTION("IMPORTRANGE(""https://docs.google.com/spreadsheets/d/1QqKyyYR6Q21VydFLVH3TRQUabQu_ym0Zz7PgGX0-kHA/edit?usp=sharing"",""แผน!HB33"")"),431073)</f>
        <v>431073</v>
      </c>
      <c r="M549" s="93">
        <v>0</v>
      </c>
      <c r="N549" s="93">
        <f>N550+N551+N552+N553+N554</f>
        <v>58071</v>
      </c>
      <c r="O549" s="93">
        <f t="shared" ca="1" si="236"/>
        <v>13.471268207472979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13000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45071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73574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IFERROR(__xludf.DUMMYFUNCTION("IMPORTRANGE(""https://docs.google.com/spreadsheets/d/1QqKyyYR6Q21VydFLVH3TRQUabQu_ym0Zz7PgGX0-kHA/edit?usp=sharing"",""แผน!HH33"")"),73574)</f>
        <v>73574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IFERROR(__xludf.DUMMYFUNCTION("IMPORTRANGE(""https://docs.google.com/spreadsheets/d/1QqKyyYR6Q21VydFLVH3TRQUabQu_ym0Zz7PgGX0-kHA/edit?usp=sharing"",""แผน!HH33"")"),73574)</f>
        <v>73574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IFERROR(__xludf.DUMMYFUNCTION("IMPORTRANGE(""https://docs.google.com/spreadsheets/d/1QqKyyYR6Q21VydFLVH3TRQUabQu_ym0Zz7PgGX0-kHA/edit?usp=sharing"",""แผน!HH33"")"),73574)</f>
        <v>73574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26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IFERROR(__xludf.DUMMYFUNCTION("IMPORTRANGE(""https://docs.google.com/spreadsheets/d/1QqKyyYR6Q21VydFLVH3TRQUabQu_ym0Zz7PgGX0-kHA/edit?usp=sharing"",""แผน!HJ33"")"),26)</f>
        <v>26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IFERROR(__xludf.DUMMYFUNCTION("IMPORTRANGE(""https://docs.google.com/spreadsheets/d/1QqKyyYR6Q21VydFLVH3TRQUabQu_ym0Zz7PgGX0-kHA/edit?usp=sharing"",""แผน!HI33"")"),4)</f>
        <v>4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IFERROR(__xludf.DUMMYFUNCTION("IMPORTRANGE(""https://docs.google.com/spreadsheets/d/1QqKyyYR6Q21VydFLVH3TRQUabQu_ym0Zz7PgGX0-kHA/edit?usp=sharing"",""แผน!HL33"")"),0)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IFERROR(__xludf.DUMMYFUNCTION("IMPORTRANGE(""https://docs.google.com/spreadsheets/d/1QqKyyYR6Q21VydFLVH3TRQUabQu_ym0Zz7PgGX0-kHA/edit?usp=sharing"",""แผน!HK33"")"),0)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50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237485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237485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237485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IFERROR(__xludf.DUMMYFUNCTION("IMPORTRANGE(""https://docs.google.com/spreadsheets/d/1QqKyyYR6Q21VydFLVH3TRQUabQu_ym0Zz7PgGX0-kHA/edit?usp=sharing"",""แผน!HR33"")"),0)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IFERROR(__xludf.DUMMYFUNCTION("IMPORTRANGE(""https://docs.google.com/spreadsheets/d/1QqKyyYR6Q21VydFLVH3TRQUabQu_ym0Zz7PgGX0-kHA/edit?usp=sharing"",""แผน!HR33"")"),0)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IFERROR(__xludf.DUMMYFUNCTION("IMPORTRANGE(""https://docs.google.com/spreadsheets/d/1XWAQStnk-4SwqDmLtmXYiTMKHgktTP8We1SCoS47DrQ/edit?usp=sharing"",""จัดที่ดิน!AS33"")"),0)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IFERROR(__xludf.DUMMYFUNCTION("IMPORTRANGE(""https://docs.google.com/spreadsheets/d/1XWAQStnk-4SwqDmLtmXYiTMKHgktTP8We1SCoS47DrQ/edit?usp=sharing"",""จัดที่ดิน!AT33"")"),0)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IFERROR(__xludf.DUMMYFUNCTION("IMPORTRANGE(""https://docs.google.com/spreadsheets/d/1QqKyyYR6Q21VydFLVH3TRQUabQu_ym0Zz7PgGX0-kHA/edit?usp=sharing"",""แผน!HS33"")"),50)</f>
        <v>50</v>
      </c>
      <c r="J647" s="269">
        <f ca="1">IFERROR(__xludf.DUMMYFUNCTION("IMPORTRANGE(""https://docs.google.com/spreadsheets/d/1XWAQStnk-4SwqDmLtmXYiTMKHgktTP8We1SCoS47DrQ/edit?usp=sharing"",""จัดที่ดิน!AU33"")"),0)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IFERROR(__xludf.DUMMYFUNCTION("IMPORTRANGE(""https://docs.google.com/spreadsheets/d/1XWAQStnk-4SwqDmLtmXYiTMKHgktTP8We1SCoS47DrQ/edit?usp=sharing"",""จัดที่ดิน!AV33"")"),0)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IFERROR(__xludf.DUMMYFUNCTION("IMPORTRANGE(""https://docs.google.com/spreadsheets/d/1QqKyyYR6Q21VydFLVH3TRQUabQu_ym0Zz7PgGX0-kHA/edit?usp=sharing"",""แผน!HS33"")"),50)</f>
        <v>50</v>
      </c>
      <c r="J649" s="269">
        <f ca="1">IFERROR(__xludf.DUMMYFUNCTION("IMPORTRANGE(""https://docs.google.com/spreadsheets/d/1XWAQStnk-4SwqDmLtmXYiTMKHgktTP8We1SCoS47DrQ/edit?usp=sharing"",""จัดที่ดิน!AW33"")"),0)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IFERROR(__xludf.DUMMYFUNCTION("IMPORTRANGE(""https://docs.google.com/spreadsheets/d/1XWAQStnk-4SwqDmLtmXYiTMKHgktTP8We1SCoS47DrQ/edit?usp=sharing"",""จัดที่ดิน!AX33"")"),0)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IFERROR(__xludf.DUMMYFUNCTION("IMPORTRANGE(""https://docs.google.com/spreadsheets/d/1QqKyyYR6Q21VydFLVH3TRQUabQu_ym0Zz7PgGX0-kHA/edit?usp=sharing"",""แผน!HS33"")"),50)</f>
        <v>50</v>
      </c>
      <c r="J651" s="269">
        <f ca="1">IFERROR(__xludf.DUMMYFUNCTION("IMPORTRANGE(""https://docs.google.com/spreadsheets/d/1XWAQStnk-4SwqDmLtmXYiTMKHgktTP8We1SCoS47DrQ/edit?usp=sharing"",""จัดที่ดิน!AY33"")"),0)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IFERROR(__xludf.DUMMYFUNCTION("IMPORTRANGE(""https://docs.google.com/spreadsheets/d/1XWAQStnk-4SwqDmLtmXYiTMKHgktTP8We1SCoS47DrQ/edit?usp=sharing"",""จัดที่ดิน!AZ33"")"),0)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IFERROR(__xludf.DUMMYFUNCTION("IMPORTRANGE(""https://docs.google.com/spreadsheets/d/1QqKyyYR6Q21VydFLVH3TRQUabQu_ym0Zz7PgGX0-kHA/edit?usp=sharing"",""แผน!IA33"")"),0)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IFERROR(__xludf.DUMMYFUNCTION("IMPORTRANGE(""https://docs.google.com/spreadsheets/d/1QqKyyYR6Q21VydFLVH3TRQUabQu_ym0Zz7PgGX0-kHA/edit?usp=sharing"",""แผน!HZ33"")"),0)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IFERROR(__xludf.DUMMYFUNCTION("IMPORTRANGE(""https://docs.google.com/spreadsheets/d/1QqKyyYR6Q21VydFLVH3TRQUabQu_ym0Zz7PgGX0-kHA/edit?usp=sharing"",""แผน!HZ33"")"),0)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IFERROR(__xludf.DUMMYFUNCTION("IMPORTRANGE(""https://docs.google.com/spreadsheets/d/1QqKyyYR6Q21VydFLVH3TRQUabQu_ym0Zz7PgGX0-kHA/edit?usp=sharing"",""แผน!IB33"")"),0)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1920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1920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1920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IFERROR(__xludf.DUMMYFUNCTION("IMPORTRANGE(""https://docs.google.com/spreadsheets/d/1QqKyyYR6Q21VydFLVH3TRQUabQu_ym0Zz7PgGX0-kHA/edit?usp=sharing"",""แผน!IC33"")"),0)</f>
        <v>0</v>
      </c>
      <c r="J699" s="269">
        <f ca="1">IFERROR(__xludf.DUMMYFUNCTION("IMPORTRANGE(""https://docs.google.com/spreadsheets/d/1XWAQStnk-4SwqDmLtmXYiTMKHgktTP8We1SCoS47DrQ/edit?usp=sharing"",""จัดที่ดิน!BB33"")"),0)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IFERROR(__xludf.DUMMYFUNCTION("IMPORTRANGE(""https://docs.google.com/spreadsheets/d/1QqKyyYR6Q21VydFLVH3TRQUabQu_ym0Zz7PgGX0-kHA/edit?usp=sharing"",""แผน!ID33"")"),0)</f>
        <v>0</v>
      </c>
      <c r="J700" s="269">
        <f ca="1">IFERROR(__xludf.DUMMYFUNCTION("IMPORTRANGE(""https://docs.google.com/spreadsheets/d/1XWAQStnk-4SwqDmLtmXYiTMKHgktTP8We1SCoS47DrQ/edit?usp=sharing"",""จัดที่ดิน!BD33"")"),0)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IFERROR(__xludf.DUMMYFUNCTION("IMPORTRANGE(""https://docs.google.com/spreadsheets/d/1QqKyyYR6Q21VydFLVH3TRQUabQu_ym0Zz7PgGX0-kHA/edit?usp=sharing"",""แผน!IE33"")"),10)</f>
        <v>10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IFERROR(__xludf.DUMMYFUNCTION("IMPORTRANGE(""https://docs.google.com/spreadsheets/d/1QqKyyYR6Q21VydFLVH3TRQUabQu_ym0Zz7PgGX0-kHA/edit?usp=sharing"",""แผน!IF33"")"),10)</f>
        <v>10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IFERROR(__xludf.DUMMYFUNCTION("IMPORTRANGE(""https://docs.google.com/spreadsheets/d/1QqKyyYR6Q21VydFLVH3TRQUabQu_ym0Zz7PgGX0-kHA/edit?usp=sharing"",""แผน!IG33"")"),0)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IFERROR(__xludf.DUMMYFUNCTION("IMPORTRANGE(""https://docs.google.com/spreadsheets/d/1QqKyyYR6Q21VydFLVH3TRQUabQu_ym0Zz7PgGX0-kHA/edit?usp=sharing"",""แผน!IH33"")"),0)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IFERROR(__xludf.DUMMYFUNCTION("IMPORTRANGE(""https://docs.google.com/spreadsheets/d/1XWAQStnk-4SwqDmLtmXYiTMKHgktTP8We1SCoS47DrQ/edit?usp=sharing"",""จัดที่ดิน!BF33"")"),0)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IFERROR(__xludf.DUMMYFUNCTION("IMPORTRANGE(""https://docs.google.com/spreadsheets/d/1XWAQStnk-4SwqDmLtmXYiTMKHgktTP8We1SCoS47DrQ/edit?usp=sharing"",""จัดที่ดิน!BG33"")"),0)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IFERROR(__xludf.DUMMYFUNCTION("IMPORTRANGE(""https://docs.google.com/spreadsheets/d/1QqKyyYR6Q21VydFLVH3TRQUabQu_ym0Zz7PgGX0-kHA/edit?usp=sharing"",""แผน!II33"")"),0)</f>
        <v>0</v>
      </c>
      <c r="J720" s="269">
        <f ca="1">IFERROR(__xludf.DUMMYFUNCTION("IMPORTRANGE(""https://docs.google.com/spreadsheets/d/1XWAQStnk-4SwqDmLtmXYiTMKHgktTP8We1SCoS47DrQ/edit?usp=sharing"",""จัดที่ดิน!BH33"")"),0)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IFERROR(__xludf.DUMMYFUNCTION("IMPORTRANGE(""https://docs.google.com/spreadsheets/d/1QqKyyYR6Q21VydFLVH3TRQUabQu_ym0Zz7PgGX0-kHA/edit?usp=sharing"",""แผน!IJ33"")"),6)</f>
        <v>6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IFERROR(__xludf.DUMMYFUNCTION("IMPORTRANGE(""https://docs.google.com/spreadsheets/d/1QqKyyYR6Q21VydFLVH3TRQUabQu_ym0Zz7PgGX0-kHA/edit?usp=sharing"",""แผน!IK33"")"),62)</f>
        <v>62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IFERROR(__xludf.DUMMYFUNCTION("IMPORTRANGE(""https://docs.google.com/spreadsheets/d/1QqKyyYR6Q21VydFLVH3TRQUabQu_ym0Zz7PgGX0-kHA/edit?usp=sharing"",""แผน!IL33"")"),6)</f>
        <v>6</v>
      </c>
      <c r="J723" s="269">
        <f ca="1">IFERROR(__xludf.DUMMYFUNCTION("IMPORTRANGE(""https://docs.google.com/spreadsheets/d/1XWAQStnk-4SwqDmLtmXYiTMKHgktTP8We1SCoS47DrQ/edit?usp=sharing"",""จัดที่ดิน!BM33"")"),0)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IFERROR(__xludf.DUMMYFUNCTION("IMPORTRANGE(""https://docs.google.com/spreadsheets/d/1XWAQStnk-4SwqDmLtmXYiTMKHgktTP8We1SCoS47DrQ/edit?usp=sharing"",""จัดที่ดิน!BN33"")"),0)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IFERROR(__xludf.DUMMYFUNCTION("IMPORTRANGE(""https://docs.google.com/spreadsheets/d/1QqKyyYR6Q21VydFLVH3TRQUabQu_ym0Zz7PgGX0-kHA/edit?usp=sharing"",""แผน!IM33"")"),62)</f>
        <v>62</v>
      </c>
      <c r="J725" s="269">
        <f ca="1">IFERROR(__xludf.DUMMYFUNCTION("IMPORTRANGE(""https://docs.google.com/spreadsheets/d/1XWAQStnk-4SwqDmLtmXYiTMKHgktTP8We1SCoS47DrQ/edit?usp=sharing"",""จัดที่ดิน!BO33"")"),0)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IFERROR(__xludf.DUMMYFUNCTION("IMPORTRANGE(""https://docs.google.com/spreadsheets/d/1QqKyyYR6Q21VydFLVH3TRQUabQu_ym0Zz7PgGX0-kHA/edit?usp=sharing"",""แผน!IN33"")"),0)</f>
        <v>0</v>
      </c>
      <c r="J726" s="269">
        <f ca="1">IFERROR(__xludf.DUMMYFUNCTION("IMPORTRANGE(""https://docs.google.com/spreadsheets/d/1XWAQStnk-4SwqDmLtmXYiTMKHgktTP8We1SCoS47DrQ/edit?usp=sharing"",""จัดที่ดิน!BR33"")"),0)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IFERROR(__xludf.DUMMYFUNCTION("IMPORTRANGE(""https://docs.google.com/spreadsheets/d/1XWAQStnk-4SwqDmLtmXYiTMKHgktTP8We1SCoS47DrQ/edit?usp=sharing"",""จัดที่ดิน!BS33"")"),0)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IFERROR(__xludf.DUMMYFUNCTION("IMPORTRANGE(""https://docs.google.com/spreadsheets/d/1QqKyyYR6Q21VydFLVH3TRQUabQu_ym0Zz7PgGX0-kHA/edit?usp=sharing"",""แผน!IO33"")"),0)</f>
        <v>0</v>
      </c>
      <c r="J728" s="269">
        <f ca="1">IFERROR(__xludf.DUMMYFUNCTION("IMPORTRANGE(""https://docs.google.com/spreadsheets/d/1XWAQStnk-4SwqDmLtmXYiTMKHgktTP8We1SCoS47DrQ/edit?usp=sharing"",""จัดที่ดิน!BT33"")"),0)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IFERROR(__xludf.DUMMYFUNCTION("IMPORTRANGE(""https://docs.google.com/spreadsheets/d/1QqKyyYR6Q21VydFLVH3TRQUabQu_ym0Zz7PgGX0-kHA/edit?usp=sharing"",""แผน!IP33"")"),0)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IFERROR(__xludf.DUMMYFUNCTION("IMPORTRANGE(""https://docs.google.com/spreadsheets/d/1MaWodYyGHDf7siQLGxnXhG4mBNTNIuy296niS2xXulU/edit?usp=sharing"",""RTK!I33"")"),0)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69">
        <f ca="1">IFERROR(__xludf.DUMMYFUNCTION("IMPORTRANGE(""https://docs.google.com/spreadsheets/d/19vJNZY_5yjcGF2XGBMNZRCAIB0Kwfpjp8YEOfu-bneM/edit?usp=sharing"",""งานกองทุน!F33"")"),34000)</f>
        <v>34000</v>
      </c>
      <c r="K821" s="496">
        <f t="shared" ref="K821:K828" ca="1" si="334">IF(I821&gt;0,J821*100/I821,0)</f>
        <v>0.7731418858778405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IFERROR(__xludf.DUMMYFUNCTION("IMPORTRANGE(""https://docs.google.com/spreadsheets/d/19vJNZY_5yjcGF2XGBMNZRCAIB0Kwfpjp8YEOfu-bneM/edit?usp=sharing"",""งานกองทุน!C33"")"),275)</f>
        <v>275</v>
      </c>
      <c r="J822" s="269">
        <f ca="1">IFERROR(__xludf.DUMMYFUNCTION("IMPORTRANGE(""https://docs.google.com/spreadsheets/d/19vJNZY_5yjcGF2XGBMNZRCAIB0Kwfpjp8YEOfu-bneM/edit?usp=sharing"",""งานกองทุน!E33"")"),1)</f>
        <v>1</v>
      </c>
      <c r="K822" s="496">
        <f t="shared" ca="1" si="334"/>
        <v>0.36363636363636365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69">
        <f ca="1">IFERROR(__xludf.DUMMYFUNCTION("IMPORTRANGE(""https://docs.google.com/spreadsheets/d/19vJNZY_5yjcGF2XGBMNZRCAIB0Kwfpjp8YEOfu-bneM/edit?usp=sharing"",""งานกองทุน!K33"")"),25653.06)</f>
        <v>25653.06</v>
      </c>
      <c r="K823" s="496">
        <f t="shared" ca="1" si="334"/>
        <v>0.18732991254314674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IFERROR(__xludf.DUMMYFUNCTION("IMPORTRANGE(""https://docs.google.com/spreadsheets/d/19vJNZY_5yjcGF2XGBMNZRCAIB0Kwfpjp8YEOfu-bneM/edit?usp=sharing"",""งานกองทุน!H33"")"),529)</f>
        <v>529</v>
      </c>
      <c r="J824" s="269">
        <f ca="1">IFERROR(__xludf.DUMMYFUNCTION("IMPORTRANGE(""https://docs.google.com/spreadsheets/d/19vJNZY_5yjcGF2XGBMNZRCAIB0Kwfpjp8YEOfu-bneM/edit?usp=sharing"",""งานกองทุน!J33"")"),7)</f>
        <v>7</v>
      </c>
      <c r="K824" s="496">
        <f t="shared" ca="1" si="334"/>
        <v>1.3232514177693762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IFERROR(__xludf.DUMMYFUNCTION("IMPORTRANGE(""https://docs.google.com/spreadsheets/d/19vJNZY_5yjcGF2XGBMNZRCAIB0Kwfpjp8YEOfu-bneM/edit?usp=sharing"",""งานกองทุน!N33"")"),318825.78)</f>
        <v>318825.78000000003</v>
      </c>
      <c r="J825" s="269">
        <f ca="1">IFERROR(__xludf.DUMMYFUNCTION("IMPORTRANGE(""https://docs.google.com/spreadsheets/d/19vJNZY_5yjcGF2XGBMNZRCAIB0Kwfpjp8YEOfu-bneM/edit?usp=sharing"",""งานกองทุน!P33"")"),0)</f>
        <v>0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IFERROR(__xludf.DUMMYFUNCTION("IMPORTRANGE(""https://docs.google.com/spreadsheets/d/19vJNZY_5yjcGF2XGBMNZRCAIB0Kwfpjp8YEOfu-bneM/edit?usp=sharing"",""งานกองทุน!M33"")"),57)</f>
        <v>57</v>
      </c>
      <c r="J826" s="269">
        <f ca="1">IFERROR(__xludf.DUMMYFUNCTION("IMPORTRANGE(""https://docs.google.com/spreadsheets/d/19vJNZY_5yjcGF2XGBMNZRCAIB0Kwfpjp8YEOfu-bneM/edit?usp=sharing"",""งานกองทุน!O33"")"),0)</f>
        <v>0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IFERROR(__xludf.DUMMYFUNCTION("IMPORTRANGE(""https://docs.google.com/spreadsheets/d/19vJNZY_5yjcGF2XGBMNZRCAIB0Kwfpjp8YEOfu-bneM/edit?usp=sharing"",""งานกองทุน!S33"")"),5080000)</f>
        <v>5080000</v>
      </c>
      <c r="J827" s="269">
        <f ca="1">IFERROR(__xludf.DUMMYFUNCTION("IMPORTRANGE(""https://docs.google.com/spreadsheets/d/19vJNZY_5yjcGF2XGBMNZRCAIB0Kwfpjp8YEOfu-bneM/edit?usp=sharing"",""งานกองทุน!U33"")"),0)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IFERROR(__xludf.DUMMYFUNCTION("IMPORTRANGE(""https://docs.google.com/spreadsheets/d/19vJNZY_5yjcGF2XGBMNZRCAIB0Kwfpjp8YEOfu-bneM/edit?usp=sharing"",""งานกองทุน!R33"")"),203)</f>
        <v>203</v>
      </c>
      <c r="J828" s="499">
        <f ca="1">IFERROR(__xludf.DUMMYFUNCTION("IMPORTRANGE(""https://docs.google.com/spreadsheets/d/19vJNZY_5yjcGF2XGBMNZRCAIB0Kwfpjp8YEOfu-bneM/edit?usp=sharing"",""งานกองทุน!T33"")"),19)</f>
        <v>19</v>
      </c>
      <c r="K828" s="500">
        <f t="shared" ca="1" si="334"/>
        <v>9.3596059113300498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01E40-5175-4122-A46F-45AF26FBA3A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337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7201656</v>
      </c>
      <c r="M8" s="21">
        <f t="shared" ca="1" si="0"/>
        <v>2487592</v>
      </c>
      <c r="N8" s="21">
        <f t="shared" ca="1" si="0"/>
        <v>1075856.1400000001</v>
      </c>
      <c r="O8" s="21">
        <f t="shared" ref="O8:O16" ca="1" si="1">IF(L8&gt;0,N8*100/L8,0)</f>
        <v>14.939010416493097</v>
      </c>
      <c r="P8" s="21">
        <f t="shared" ref="P8:P16" ca="1" si="2">IF(M8&gt;0,N8*100/M8,0)</f>
        <v>43.248898533199984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7201656</v>
      </c>
      <c r="M10" s="30">
        <f t="shared" ca="1" si="3"/>
        <v>2487592</v>
      </c>
      <c r="N10" s="30">
        <f t="shared" ca="1" si="3"/>
        <v>1075856.1400000001</v>
      </c>
      <c r="O10" s="30">
        <f t="shared" ca="1" si="1"/>
        <v>14.939010416493097</v>
      </c>
      <c r="P10" s="30">
        <f t="shared" ca="1" si="2"/>
        <v>43.248898533199984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7050056</v>
      </c>
      <c r="M11" s="496">
        <f t="shared" ca="1" si="4"/>
        <v>2335992</v>
      </c>
      <c r="N11" s="496">
        <f t="shared" ca="1" si="4"/>
        <v>924256.14</v>
      </c>
      <c r="O11" s="496">
        <f t="shared" ca="1" si="1"/>
        <v>13.109912034741285</v>
      </c>
      <c r="P11" s="496">
        <f t="shared" ca="1" si="2"/>
        <v>39.565894917448347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7050056</v>
      </c>
      <c r="M13" s="93">
        <f t="shared" ca="1" si="5"/>
        <v>2335992</v>
      </c>
      <c r="N13" s="93">
        <f t="shared" ca="1" si="5"/>
        <v>924256.14</v>
      </c>
      <c r="O13" s="93">
        <f t="shared" ca="1" si="1"/>
        <v>13.109912034741285</v>
      </c>
      <c r="P13" s="93">
        <f t="shared" ca="1" si="2"/>
        <v>39.565894917448347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151600</v>
      </c>
      <c r="M14" s="496">
        <f t="shared" ca="1" si="6"/>
        <v>151600</v>
      </c>
      <c r="N14" s="496">
        <f t="shared" ca="1" si="6"/>
        <v>151600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4817772</v>
      </c>
      <c r="M18" s="21">
        <f t="shared" ca="1" si="8"/>
        <v>2487592</v>
      </c>
      <c r="N18" s="21">
        <f t="shared" ca="1" si="8"/>
        <v>1075856.1400000001</v>
      </c>
      <c r="O18" s="21">
        <f t="shared" ref="O18:O26" ca="1" si="9">IF(L18&gt;0,N18*100/L18,0)</f>
        <v>22.33098909620464</v>
      </c>
      <c r="P18" s="21">
        <f t="shared" ref="P18:P26" ca="1" si="10">IF(M18&gt;0,N18*100/M18,0)</f>
        <v>43.248898533199984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2487592</v>
      </c>
      <c r="N20" s="30">
        <f t="shared" ca="1" si="11"/>
        <v>1075856.1400000001</v>
      </c>
      <c r="O20" s="30">
        <f t="shared" ca="1" si="9"/>
        <v>22.33098909620464</v>
      </c>
      <c r="P20" s="30">
        <f t="shared" ca="1" si="10"/>
        <v>43.248898533199984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4666172</v>
      </c>
      <c r="M21" s="496">
        <f t="shared" ca="1" si="12"/>
        <v>2335992</v>
      </c>
      <c r="N21" s="496">
        <f t="shared" ca="1" si="12"/>
        <v>924256.14</v>
      </c>
      <c r="O21" s="496">
        <f t="shared" ca="1" si="9"/>
        <v>19.80758831864749</v>
      </c>
      <c r="P21" s="496">
        <f t="shared" ca="1" si="10"/>
        <v>39.565894917448347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4666172</v>
      </c>
      <c r="M23" s="93">
        <f t="shared" ca="1" si="13"/>
        <v>2335992</v>
      </c>
      <c r="N23" s="93">
        <f t="shared" ca="1" si="13"/>
        <v>924256.14</v>
      </c>
      <c r="O23" s="93">
        <f t="shared" ca="1" si="9"/>
        <v>19.80758831864749</v>
      </c>
      <c r="P23" s="93">
        <f t="shared" ca="1" si="10"/>
        <v>39.565894917448347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151600</v>
      </c>
      <c r="M24" s="496">
        <f t="shared" ca="1" si="14"/>
        <v>151600</v>
      </c>
      <c r="N24" s="496">
        <f t="shared" ca="1" si="14"/>
        <v>151600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2383884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2383884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2383884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2383884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8">
        <f t="shared" ref="L37:N37" ca="1" si="24">L41+L53+L66+L88+L119+L132+L149+L165+L181+L261+L277+L298+L315+L328+L345+L389+L402</f>
        <v>4817772</v>
      </c>
      <c r="M37" s="58">
        <f t="shared" ca="1" si="24"/>
        <v>2487592</v>
      </c>
      <c r="N37" s="58">
        <f t="shared" ca="1" si="24"/>
        <v>1075856.1400000001</v>
      </c>
      <c r="O37" s="58">
        <f t="shared" ca="1" si="17"/>
        <v>22.33098909620464</v>
      </c>
      <c r="P37" s="58">
        <f t="shared" ca="1" si="18"/>
        <v>43.248898533199984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882742</v>
      </c>
      <c r="M41" s="84">
        <f t="shared" ca="1" si="25"/>
        <v>443342</v>
      </c>
      <c r="N41" s="84">
        <f t="shared" ca="1" si="25"/>
        <v>176342</v>
      </c>
      <c r="O41" s="84">
        <f t="shared" ref="O41:O49" ca="1" si="26">IF(L41&gt;0,N41*100/L41,0)</f>
        <v>19.976618309766614</v>
      </c>
      <c r="P41" s="84">
        <f t="shared" ref="P41:P49" ca="1" si="27">IF(M41&gt;0,N41*100/M41,0)</f>
        <v>39.775613409061179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443342</v>
      </c>
      <c r="N43" s="92">
        <f t="shared" ca="1" si="28"/>
        <v>176342</v>
      </c>
      <c r="O43" s="92">
        <f t="shared" ca="1" si="26"/>
        <v>19.976618309766614</v>
      </c>
      <c r="P43" s="92">
        <f t="shared" ca="1" si="27"/>
        <v>39.775613409061179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882742</v>
      </c>
      <c r="M44" s="496">
        <f t="shared" ca="1" si="29"/>
        <v>443342</v>
      </c>
      <c r="N44" s="496">
        <f t="shared" ca="1" si="29"/>
        <v>176342</v>
      </c>
      <c r="O44" s="496">
        <f t="shared" ca="1" si="26"/>
        <v>19.976618309766614</v>
      </c>
      <c r="P44" s="496">
        <f t="shared" ca="1" si="27"/>
        <v>39.775613409061179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IFERROR(__xludf.DUMMYFUNCTION("IMPORTRANGE(""https://docs.google.com/spreadsheets/d/1MeEWN-I1oV_STSDYn1IFDPWt_1FKiwhDph83XaGc0o0/edit?usp=sharing"",""งบพรบ!R34"")"),443342)</f>
        <v>443342</v>
      </c>
      <c r="N46" s="93">
        <f ca="1">IFERROR(__xludf.DUMMYFUNCTION("IMPORTRANGE(""https://docs.google.com/spreadsheets/d/1MeEWN-I1oV_STSDYn1IFDPWt_1FKiwhDph83XaGc0o0/edit?usp=sharing"",""งบพรบ!T34"")"),176342)</f>
        <v>176342</v>
      </c>
      <c r="O46" s="93">
        <f t="shared" ca="1" si="26"/>
        <v>19.976618309766614</v>
      </c>
      <c r="P46" s="93">
        <f t="shared" ca="1" si="27"/>
        <v>39.775613409061179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991600</v>
      </c>
      <c r="M53" s="115">
        <f t="shared" ca="1" si="31"/>
        <v>495800</v>
      </c>
      <c r="N53" s="115">
        <f t="shared" ca="1" si="31"/>
        <v>298314.14</v>
      </c>
      <c r="O53" s="115">
        <f t="shared" ref="O53:O61" ca="1" si="32">IF(L53&gt;0,N53*100/L53,0)</f>
        <v>30.084120613150464</v>
      </c>
      <c r="P53" s="115">
        <f t="shared" ref="P53:P61" ca="1" si="33">IF(M53&gt;0,N53*100/M53,0)</f>
        <v>60.168241226300928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495800</v>
      </c>
      <c r="N55" s="123">
        <f t="shared" ca="1" si="34"/>
        <v>298314.14</v>
      </c>
      <c r="O55" s="123">
        <f t="shared" ca="1" si="32"/>
        <v>30.084120613150464</v>
      </c>
      <c r="P55" s="123">
        <f t="shared" ca="1" si="33"/>
        <v>60.168241226300928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991600</v>
      </c>
      <c r="M56" s="496">
        <f t="shared" ca="1" si="35"/>
        <v>495800</v>
      </c>
      <c r="N56" s="496">
        <f t="shared" ca="1" si="35"/>
        <v>298314.14</v>
      </c>
      <c r="O56" s="496">
        <f t="shared" ca="1" si="32"/>
        <v>30.084120613150464</v>
      </c>
      <c r="P56" s="496">
        <f t="shared" ca="1" si="33"/>
        <v>60.168241226300928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IFERROR(__xludf.DUMMYFUNCTION("IMPORTRANGE(""https://docs.google.com/spreadsheets/d/1MeEWN-I1oV_STSDYn1IFDPWt_1FKiwhDph83XaGc0o0/edit?usp=sharing"",""งบพรบ!AB34"")"),495800)</f>
        <v>495800</v>
      </c>
      <c r="N58" s="93">
        <f ca="1">IFERROR(__xludf.DUMMYFUNCTION("IMPORTRANGE(""https://docs.google.com/spreadsheets/d/1MeEWN-I1oV_STSDYn1IFDPWt_1FKiwhDph83XaGc0o0/edit?usp=sharing"",""งบพรบ!AD34"")"),298314.14)</f>
        <v>298314.14</v>
      </c>
      <c r="O58" s="93">
        <f t="shared" ca="1" si="32"/>
        <v>30.084120613150464</v>
      </c>
      <c r="P58" s="93">
        <f t="shared" ca="1" si="33"/>
        <v>60.168241226300928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31200</v>
      </c>
      <c r="M88" s="155">
        <f t="shared" ca="1" si="49"/>
        <v>27750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31200</v>
      </c>
      <c r="M90" s="93">
        <f t="shared" ca="1" si="52"/>
        <v>27750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31200</v>
      </c>
      <c r="M91" s="496">
        <f t="shared" ca="1" si="53"/>
        <v>27750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IFERROR(__xludf.DUMMYFUNCTION("IMPORTRANGE(""https://docs.google.com/spreadsheets/d/1MeEWN-I1oV_STSDYn1IFDPWt_1FKiwhDph83XaGc0o0/edit?usp=sharing"",""งบพรบ!AV34"")"),27750)</f>
        <v>27750</v>
      </c>
      <c r="N93" s="93">
        <f ca="1">IFERROR(__xludf.DUMMYFUNCTION("IMPORTRANGE(""https://docs.google.com/spreadsheets/d/1MeEWN-I1oV_STSDYn1IFDPWt_1FKiwhDph83XaGc0o0/edit?usp=sharing"",""งบพรบ!AX34"")"),0)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IFERROR(__xludf.DUMMYFUNCTION("IMPORTRANGE(""https://docs.google.com/spreadsheets/d/1QqKyyYR6Q21VydFLVH3TRQUabQu_ym0Zz7PgGX0-kHA/edit?usp=sharing"",""แผน!K34"")"),0)</f>
        <v>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IFERROR(__xludf.DUMMYFUNCTION("IMPORTRANGE(""https://docs.google.com/spreadsheets/d/1QqKyyYR6Q21VydFLVH3TRQUabQu_ym0Zz7PgGX0-kHA/edit?usp=sharing"",""แผน!L34"")"),0)</f>
        <v>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IFERROR(__xludf.DUMMYFUNCTION("IMPORTRANGE(""https://docs.google.com/spreadsheets/d/1QqKyyYR6Q21VydFLVH3TRQUabQu_ym0Zz7PgGX0-kHA/edit?usp=sharing"",""แผน!M34"")"),1)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IFERROR(__xludf.DUMMYFUNCTION("IMPORTRANGE(""https://docs.google.com/spreadsheets/d/1QqKyyYR6Q21VydFLVH3TRQUabQu_ym0Zz7PgGX0-kHA/edit?usp=sharing"",""แผน!N34"")"),0)</f>
        <v>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IFERROR(__xludf.DUMMYFUNCTION("IMPORTRANGE(""https://docs.google.com/spreadsheets/d/1QqKyyYR6Q21VydFLVH3TRQUabQu_ym0Zz7PgGX0-kHA/edit?usp=sharing"",""แผน!O34"")"),0)</f>
        <v>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IFERROR(__xludf.DUMMYFUNCTION("IMPORTRANGE(""https://docs.google.com/spreadsheets/d/1QqKyyYR6Q21VydFLVH3TRQUabQu_ym0Zz7PgGX0-kHA/edit?usp=sharing"",""แผน!O34"")"),0)</f>
        <v>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IFERROR(__xludf.DUMMYFUNCTION("IMPORTRANGE(""https://docs.google.com/spreadsheets/d/1QqKyyYR6Q21VydFLVH3TRQUabQu_ym0Zz7PgGX0-kHA/edit?usp=sharing"",""แผน!P34"")"),0)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IFERROR(__xludf.DUMMYFUNCTION("IMPORTRANGE(""https://docs.google.com/spreadsheets/d/1QqKyyYR6Q21VydFLVH3TRQUabQu_ym0Zz7PgGX0-kHA/edit?usp=sharing"",""แผน!P34"")"),0)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IFERROR(__xludf.DUMMYFUNCTION("IMPORTRANGE(""https://docs.google.com/spreadsheets/d/1QqKyyYR6Q21VydFLVH3TRQUabQu_ym0Zz7PgGX0-kHA/edit?usp=sharing"",""แผน!Q34"")"),1)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IFERROR(__xludf.DUMMYFUNCTION("IMPORTRANGE(""https://docs.google.com/spreadsheets/d/1QqKyyYR6Q21VydFLVH3TRQUabQu_ym0Zz7PgGX0-kHA/edit?usp=sharing"",""แผน!Q34"")"),1)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IFERROR(__xludf.DUMMYFUNCTION("IMPORTRANGE(""https://docs.google.com/spreadsheets/d/1QqKyyYR6Q21VydFLVH3TRQUabQu_ym0Zz7PgGX0-kHA/edit?usp=sharing"",""แผน!U34"")"),0)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IFERROR(__xludf.DUMMYFUNCTION("IMPORTRANGE(""https://docs.google.com/spreadsheets/d/1QqKyyYR6Q21VydFLVH3TRQUabQu_ym0Zz7PgGX0-kHA/edit?usp=sharing"",""แผน!V34"")"),0)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IFERROR(__xludf.DUMMYFUNCTION("IMPORTRANGE(""https://docs.google.com/spreadsheets/d/1QqKyyYR6Q21VydFLVH3TRQUabQu_ym0Zz7PgGX0-kHA/edit?usp=sharing"",""แผน!W34"")"),0)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IFERROR(__xludf.DUMMYFUNCTION("IMPORTRANGE(""https://docs.google.com/spreadsheets/d/1MeEWN-I1oV_STSDYn1IFDPWt_1FKiwhDph83XaGc0o0/edit?usp=sharing"",""งบพรบ!BZ34"")"),0)</f>
        <v>0</v>
      </c>
      <c r="N154" s="93">
        <f ca="1">IFERROR(__xludf.DUMMYFUNCTION("IMPORTRANGE(""https://docs.google.com/spreadsheets/d/1MeEWN-I1oV_STSDYn1IFDPWt_1FKiwhDph83XaGc0o0/edit?usp=sharing"",""งบพรบ!CB34"")"),0)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IFERROR(__xludf.DUMMYFUNCTION("IMPORTRANGE(""https://docs.google.com/spreadsheets/d/1QqKyyYR6Q21VydFLVH3TRQUabQu_ym0Zz7PgGX0-kHA/edit?usp=sharing"",""แผน!X34"")"),0)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10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21050</v>
      </c>
      <c r="M165" s="154">
        <f t="shared" ca="1" si="84"/>
        <v>21050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IFERROR(__xludf.DUMMYFUNCTION("IMPORTRANGE(""https://docs.google.com/spreadsheets/d/1MeEWN-I1oV_STSDYn1IFDPWt_1FKiwhDph83XaGc0o0/edit?usp=sharing"",""งบพรบ!CJ34"")"),21050)</f>
        <v>21050</v>
      </c>
      <c r="N170" s="93">
        <f ca="1">IFERROR(__xludf.DUMMYFUNCTION("IMPORTRANGE(""https://docs.google.com/spreadsheets/d/1MeEWN-I1oV_STSDYn1IFDPWt_1FKiwhDph83XaGc0o0/edit?usp=sharing"",""งบพรบ!CL34"")"),0)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IFERROR(__xludf.DUMMYFUNCTION("IMPORTRANGE(""https://docs.google.com/spreadsheets/d/1QqKyyYR6Q21VydFLVH3TRQUabQu_ym0Zz7PgGX0-kHA/edit?usp=sharing"",""แผน!Y34"")"),10)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1">L182+L183</f>
        <v>362500</v>
      </c>
      <c r="M181" s="154">
        <f t="shared" ca="1" si="91"/>
        <v>169000</v>
      </c>
      <c r="N181" s="154">
        <f t="shared" ca="1" si="91"/>
        <v>22533</v>
      </c>
      <c r="O181" s="154">
        <f t="shared" ref="O181:O189" ca="1" si="92">IF(L181&gt;0,N181*100/L181,0)</f>
        <v>6.2160000000000002</v>
      </c>
      <c r="P181" s="154">
        <f t="shared" ref="P181:P189" ca="1" si="93">IF(M181&gt;0,N181*100/M181,0)</f>
        <v>13.333136094674556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362500</v>
      </c>
      <c r="M183" s="93">
        <f t="shared" ca="1" si="94"/>
        <v>169000</v>
      </c>
      <c r="N183" s="93">
        <f t="shared" ca="1" si="94"/>
        <v>22533</v>
      </c>
      <c r="O183" s="93">
        <f t="shared" ca="1" si="92"/>
        <v>6.2160000000000002</v>
      </c>
      <c r="P183" s="93">
        <f t="shared" ca="1" si="93"/>
        <v>13.333136094674556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362500</v>
      </c>
      <c r="M184" s="496">
        <f t="shared" ca="1" si="95"/>
        <v>169000</v>
      </c>
      <c r="N184" s="496">
        <f t="shared" ca="1" si="95"/>
        <v>22533</v>
      </c>
      <c r="O184" s="496">
        <f t="shared" ca="1" si="92"/>
        <v>6.2160000000000002</v>
      </c>
      <c r="P184" s="496">
        <f t="shared" ca="1" si="93"/>
        <v>13.333136094674556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IFERROR(__xludf.DUMMYFUNCTION("IMPORTRANGE(""https://docs.google.com/spreadsheets/d/1MeEWN-I1oV_STSDYn1IFDPWt_1FKiwhDph83XaGc0o0/edit?usp=sharing"",""งบพรบ!CT34"")"),169000)</f>
        <v>169000</v>
      </c>
      <c r="N186" s="93">
        <f ca="1">IFERROR(__xludf.DUMMYFUNCTION("IMPORTRANGE(""https://docs.google.com/spreadsheets/d/1MeEWN-I1oV_STSDYn1IFDPWt_1FKiwhDph83XaGc0o0/edit?usp=sharing"",""งบพรบ!CV34"")"),22533)</f>
        <v>22533</v>
      </c>
      <c r="O186" s="93">
        <f t="shared" ca="1" si="92"/>
        <v>6.2160000000000002</v>
      </c>
      <c r="P186" s="93">
        <f t="shared" ca="1" si="93"/>
        <v>13.333136094674556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IFERROR(__xludf.DUMMYFUNCTION("IMPORTRANGE(""https://docs.google.com/spreadsheets/d/1QqKyyYR6Q21VydFLVH3TRQUabQu_ym0Zz7PgGX0-kHA/edit?usp=sharing"",""แผน!AC34"")"),4)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4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IFERROR(__xludf.DUMMYFUNCTION("IMPORTRANGE(""https://docs.google.com/spreadsheets/d/1QqKyyYR6Q21VydFLVH3TRQUabQu_ym0Zz7PgGX0-kHA/edit?usp=sharing"",""แผน!AE34"")"),4000)</f>
        <v>4000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IFERROR(__xludf.DUMMYFUNCTION("IMPORTRANGE(""https://docs.google.com/spreadsheets/d/1QqKyyYR6Q21VydFLVH3TRQUabQu_ym0Zz7PgGX0-kHA/edit?usp=sharing"",""แผน!AF34"")"),32000)</f>
        <v>32000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IFERROR(__xludf.DUMMYFUNCTION("IMPORTRANGE(""https://docs.google.com/spreadsheets/d/1QqKyyYR6Q21VydFLVH3TRQUabQu_ym0Zz7PgGX0-kHA/edit?usp=sharing"",""แผน!AG34"")"),16000)</f>
        <v>16000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IFERROR(__xludf.DUMMYFUNCTION("IMPORTRANGE(""https://docs.google.com/spreadsheets/d/1QqKyyYR6Q21VydFLVH3TRQUabQu_ym0Zz7PgGX0-kHA/edit?usp=sharing"",""แผน!AH34"")"),0)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IFERROR(__xludf.DUMMYFUNCTION("IMPORTRANGE(""https://docs.google.com/spreadsheets/d/1QqKyyYR6Q21VydFLVH3TRQUabQu_ym0Zz7PgGX0-kHA/edit?usp=sharing"",""แผน!AI34"")"),4)</f>
        <v>4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4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IFERROR(__xludf.DUMMYFUNCTION("IMPORTRANGE(""https://docs.google.com/spreadsheets/d/1QqKyyYR6Q21VydFLVH3TRQUabQu_ym0Zz7PgGX0-kHA/edit?usp=sharing"",""แผน!AK34"")"),0)</f>
        <v>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IFERROR(__xludf.DUMMYFUNCTION("IMPORTRANGE(""https://docs.google.com/spreadsheets/d/1QqKyyYR6Q21VydFLVH3TRQUabQu_ym0Zz7PgGX0-kHA/edit?usp=sharing"",""แผน!AL34"")"),0)</f>
        <v>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IFERROR(__xludf.DUMMYFUNCTION("IMPORTRANGE(""https://docs.google.com/spreadsheets/d/1QqKyyYR6Q21VydFLVH3TRQUabQu_ym0Zz7PgGX0-kHA/edit?usp=sharing"",""แผน!AM34"")"),0)</f>
        <v>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IFERROR(__xludf.DUMMYFUNCTION("IMPORTRANGE(""https://docs.google.com/spreadsheets/d/1QqKyyYR6Q21VydFLVH3TRQUabQu_ym0Zz7PgGX0-kHA/edit?usp=sharing"",""แผน!AN34"")"),0)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IFERROR(__xludf.DUMMYFUNCTION("IMPORTRANGE(""https://docs.google.com/spreadsheets/d/1QqKyyYR6Q21VydFLVH3TRQUabQu_ym0Zz7PgGX0-kHA/edit?usp=sharing"",""แผน!AN34"")"),0)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IFERROR(__xludf.DUMMYFUNCTION("IMPORTRANGE(""https://docs.google.com/spreadsheets/d/1QqKyyYR6Q21VydFLVH3TRQUabQu_ym0Zz7PgGX0-kHA/edit?usp=sharing"",""แผน!AP34"")"),5000)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IFERROR(__xludf.DUMMYFUNCTION("IMPORTRANGE(""https://docs.google.com/spreadsheets/d/1QqKyyYR6Q21VydFLVH3TRQUabQu_ym0Zz7PgGX0-kHA/edit?usp=sharing"",""แผน!AQ34"")"),13500)</f>
        <v>13500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IFERROR(__xludf.DUMMYFUNCTION("IMPORTRANGE(""https://docs.google.com/spreadsheets/d/1QqKyyYR6Q21VydFLVH3TRQUabQu_ym0Zz7PgGX0-kHA/edit?usp=sharing"",""แผน!AR34"")"),0)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IFERROR(__xludf.DUMMYFUNCTION("IMPORTRANGE(""https://docs.google.com/spreadsheets/d/1QqKyyYR6Q21VydFLVH3TRQUabQu_ym0Zz7PgGX0-kHA/edit?usp=sharing"",""แผน!AT34"")"),50000)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IFERROR(__xludf.DUMMYFUNCTION("IMPORTRANGE(""https://docs.google.com/spreadsheets/d/1QqKyyYR6Q21VydFLVH3TRQUabQu_ym0Zz7PgGX0-kHA/edit?usp=sharing"",""แผน!AT34"")"),50000)</f>
        <v>50000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IFERROR(__xludf.DUMMYFUNCTION("IMPORTRANGE(""https://docs.google.com/spreadsheets/d/1QqKyyYR6Q21VydFLVH3TRQUabQu_ym0Zz7PgGX0-kHA/edit?usp=sharing"",""แผน!AS34"")"),0)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IFERROR(__xludf.DUMMYFUNCTION("IMPORTRANGE(""https://docs.google.com/spreadsheets/d/1QqKyyYR6Q21VydFLVH3TRQUabQu_ym0Zz7PgGX0-kHA/edit?usp=sharing"",""แผน!AV34"")"),0)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IFERROR(__xludf.DUMMYFUNCTION("IMPORTRANGE(""https://docs.google.com/spreadsheets/d/1QqKyyYR6Q21VydFLVH3TRQUabQu_ym0Zz7PgGX0-kHA/edit?usp=sharing"",""แผน!AW34"")"),0)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IFERROR(__xludf.DUMMYFUNCTION("IMPORTRANGE(""https://docs.google.com/spreadsheets/d/1QqKyyYR6Q21VydFLVH3TRQUabQu_ym0Zz7PgGX0-kHA/edit?usp=sharing"",""แผน!AX34"")"),0)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IFERROR(__xludf.DUMMYFUNCTION("IMPORTRANGE(""https://docs.google.com/spreadsheets/d/1QqKyyYR6Q21VydFLVH3TRQUabQu_ym0Zz7PgGX0-kHA/edit?usp=sharing"",""แผน!AY34"")"),0)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IFERROR(__xludf.DUMMYFUNCTION("IMPORTRANGE(""https://docs.google.com/spreadsheets/d/1QqKyyYR6Q21VydFLVH3TRQUabQu_ym0Zz7PgGX0-kHA/edit?usp=sharing"",""แผน!BE34"")"),0)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IFERROR(__xludf.DUMMYFUNCTION("IMPORTRANGE(""https://docs.google.com/spreadsheets/d/1QqKyyYR6Q21VydFLVH3TRQUabQu_ym0Zz7PgGX0-kHA/edit?usp=sharing"",""แผน!AZ34"")"),0)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IFERROR(__xludf.DUMMYFUNCTION("IMPORTRANGE(""https://docs.google.com/spreadsheets/d/1QqKyyYR6Q21VydFLVH3TRQUabQu_ym0Zz7PgGX0-kHA/edit?usp=sharing"",""แผน!BA34"")"),0)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IFERROR(__xludf.DUMMYFUNCTION("IMPORTRANGE(""https://docs.google.com/spreadsheets/d/1QqKyyYR6Q21VydFLVH3TRQUabQu_ym0Zz7PgGX0-kHA/edit?usp=sharing"",""แผน!BB34"")"),0)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IFERROR(__xludf.DUMMYFUNCTION("IMPORTRANGE(""https://docs.google.com/spreadsheets/d/1QqKyyYR6Q21VydFLVH3TRQUabQu_ym0Zz7PgGX0-kHA/edit?usp=sharing"",""แผน!BC34"")"),0)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IFERROR(__xludf.DUMMYFUNCTION("IMPORTRANGE(""https://docs.google.com/spreadsheets/d/1QqKyyYR6Q21VydFLVH3TRQUabQu_ym0Zz7PgGX0-kHA/edit?usp=sharing"",""แผน!BF34"")"),0)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23900</v>
      </c>
      <c r="N264" s="496">
        <f t="shared" ca="1" si="119"/>
        <v>0</v>
      </c>
      <c r="O264" s="496">
        <f t="shared" ca="1" si="116"/>
        <v>0</v>
      </c>
      <c r="P264" s="496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IFERROR(__xludf.DUMMYFUNCTION("IMPORTRANGE(""https://docs.google.com/spreadsheets/d/1MeEWN-I1oV_STSDYn1IFDPWt_1FKiwhDph83XaGc0o0/edit?usp=sharing"",""งบพรบ!DD34"")"),23900)</f>
        <v>23900</v>
      </c>
      <c r="N266" s="93">
        <f ca="1">IFERROR(__xludf.DUMMYFUNCTION("IMPORTRANGE(""https://docs.google.com/spreadsheets/d/1MeEWN-I1oV_STSDYn1IFDPWt_1FKiwhDph83XaGc0o0/edit?usp=sharing"",""งบพรบ!DF34"")"),0)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IFERROR(__xludf.DUMMYFUNCTION("IMPORTRANGE(""https://docs.google.com/spreadsheets/d/1QqKyyYR6Q21VydFLVH3TRQUabQu_ym0Zz7PgGX0-kHA/edit?usp=sharing"",""แผน!EA34"")"),22)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70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700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413560</v>
      </c>
      <c r="M277" s="155">
        <f t="shared" ca="1" si="124"/>
        <v>186840</v>
      </c>
      <c r="N277" s="155">
        <f t="shared" ca="1" si="124"/>
        <v>5600</v>
      </c>
      <c r="O277" s="155">
        <f t="shared" ref="O277:O285" ca="1" si="125">IF(L277&gt;0,N277*100/L277,0)</f>
        <v>1.3540961408259986</v>
      </c>
      <c r="P277" s="155">
        <f t="shared" ref="P277:P285" ca="1" si="126">IF(M277&gt;0,N277*100/M277,0)</f>
        <v>2.9972168700492401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413560</v>
      </c>
      <c r="M279" s="93">
        <f t="shared" ca="1" si="127"/>
        <v>186840</v>
      </c>
      <c r="N279" s="93">
        <f t="shared" ca="1" si="127"/>
        <v>5600</v>
      </c>
      <c r="O279" s="93">
        <f t="shared" ca="1" si="125"/>
        <v>1.3540961408259986</v>
      </c>
      <c r="P279" s="93">
        <f t="shared" ca="1" si="126"/>
        <v>2.9972168700492401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413560</v>
      </c>
      <c r="M280" s="496">
        <f t="shared" ca="1" si="128"/>
        <v>186840</v>
      </c>
      <c r="N280" s="496">
        <f t="shared" ca="1" si="128"/>
        <v>5600</v>
      </c>
      <c r="O280" s="496">
        <f t="shared" ca="1" si="125"/>
        <v>1.3540961408259986</v>
      </c>
      <c r="P280" s="496">
        <f t="shared" ca="1" si="126"/>
        <v>2.9972168700492401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IFERROR(__xludf.DUMMYFUNCTION("IMPORTRANGE(""https://docs.google.com/spreadsheets/d/1MeEWN-I1oV_STSDYn1IFDPWt_1FKiwhDph83XaGc0o0/edit?usp=sharing"",""งบพรบ!DN34"")"),186840)</f>
        <v>186840</v>
      </c>
      <c r="N282" s="93">
        <f ca="1">IFERROR(__xludf.DUMMYFUNCTION("IMPORTRANGE(""https://docs.google.com/spreadsheets/d/1MeEWN-I1oV_STSDYn1IFDPWt_1FKiwhDph83XaGc0o0/edit?usp=sharing"",""งบพรบ!DP34"")"),5600)</f>
        <v>5600</v>
      </c>
      <c r="O282" s="93">
        <f t="shared" ca="1" si="125"/>
        <v>1.3540961408259986</v>
      </c>
      <c r="P282" s="93">
        <f t="shared" ca="1" si="126"/>
        <v>2.9972168700492401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IFERROR(__xludf.DUMMYFUNCTION("IMPORTRANGE(""https://docs.google.com/spreadsheets/d/1QqKyyYR6Q21VydFLVH3TRQUabQu_ym0Zz7PgGX0-kHA/edit?usp=sharing"",""แผน!EC34"")"),700)</f>
        <v>700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IFERROR(__xludf.DUMMYFUNCTION("IMPORTRANGE(""https://docs.google.com/spreadsheets/d/1QqKyyYR6Q21VydFLVH3TRQUabQu_ym0Zz7PgGX0-kHA/edit?usp=sharing"",""แผน!EB34"")"),70)</f>
        <v>70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IFERROR(__xludf.DUMMYFUNCTION("IMPORTRANGE(""https://docs.google.com/spreadsheets/d/1QqKyyYR6Q21VydFLVH3TRQUabQu_ym0Zz7PgGX0-kHA/edit?usp=sharing"",""แผน!EB34"")"),70)</f>
        <v>70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0</v>
      </c>
      <c r="M301" s="496">
        <f t="shared" ca="1" si="138"/>
        <v>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IFERROR(__xludf.DUMMYFUNCTION("IMPORTRANGE(""https://docs.google.com/spreadsheets/d/1QqKyyYR6Q21VydFLVH3TRQUabQu_ym0Zz7PgGX0-kHA/edit?usp=sharing"",""แผน!ED34"")"),0)</f>
        <v>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IFERROR(__xludf.DUMMYFUNCTION("IMPORTRANGE(""https://docs.google.com/spreadsheets/d/1QqKyyYR6Q21VydFLVH3TRQUabQu_ym0Zz7PgGX0-kHA/edit?usp=sharing"",""แผน!ED34"")"),0)</f>
        <v>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IFERROR(__xludf.DUMMYFUNCTION("IMPORTRANGE(""https://docs.google.com/spreadsheets/d/1QqKyyYR6Q21VydFLVH3TRQUabQu_ym0Zz7PgGX0-kHA/edit?usp=sharing"",""แผน!ED34"")"),0)</f>
        <v>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IFERROR(__xludf.DUMMYFUNCTION("IMPORTRANGE(""https://docs.google.com/spreadsheets/d/1QqKyyYR6Q21VydFLVH3TRQUabQu_ym0Zz7PgGX0-kHA/edit?usp=sharing"",""แผน!EE34"")"),0)</f>
        <v>0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IFERROR(__xludf.DUMMYFUNCTION("IMPORTRANGE(""https://docs.google.com/spreadsheets/d/1QqKyyYR6Q21VydFLVH3TRQUabQu_ym0Zz7PgGX0-kHA/edit?usp=sharing"",""แผน!EF34"")"),0)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IFERROR(__xludf.DUMMYFUNCTION("IMPORTRANGE(""https://docs.google.com/spreadsheets/d/1QqKyyYR6Q21VydFLVH3TRQUabQu_ym0Zz7PgGX0-kHA/edit?usp=sharing"",""แผน!EG34"")"),3400)</f>
        <v>3400</v>
      </c>
      <c r="J327" s="443">
        <f ca="1">J338+J341+J342+J343</f>
        <v>922</v>
      </c>
      <c r="K327" s="444">
        <f ca="1">IF(I327&gt;0,J327*100/I327,0)</f>
        <v>27.117647058823529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183000</v>
      </c>
      <c r="M328" s="155">
        <f t="shared" ca="1" si="148"/>
        <v>91500</v>
      </c>
      <c r="N328" s="155">
        <f t="shared" ca="1" si="148"/>
        <v>36835</v>
      </c>
      <c r="O328" s="155">
        <f t="shared" ref="O328:O336" ca="1" si="149">IF(L328&gt;0,N328*100/L328,0)</f>
        <v>20.128415300546447</v>
      </c>
      <c r="P328" s="155">
        <f t="shared" ref="P328:P336" ca="1" si="150">IF(M328&gt;0,N328*100/M328,0)</f>
        <v>40.256830601092894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183000</v>
      </c>
      <c r="M330" s="93">
        <f t="shared" ca="1" si="151"/>
        <v>91500</v>
      </c>
      <c r="N330" s="93">
        <f t="shared" ca="1" si="151"/>
        <v>36835</v>
      </c>
      <c r="O330" s="93">
        <f t="shared" ca="1" si="149"/>
        <v>20.128415300546447</v>
      </c>
      <c r="P330" s="93">
        <f t="shared" ca="1" si="150"/>
        <v>40.256830601092894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183000</v>
      </c>
      <c r="M331" s="496">
        <f t="shared" ca="1" si="152"/>
        <v>91500</v>
      </c>
      <c r="N331" s="496">
        <f t="shared" ca="1" si="152"/>
        <v>36835</v>
      </c>
      <c r="O331" s="496">
        <f t="shared" ca="1" si="149"/>
        <v>20.128415300546447</v>
      </c>
      <c r="P331" s="496">
        <f t="shared" ca="1" si="150"/>
        <v>40.256830601092894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IFERROR(__xludf.DUMMYFUNCTION("IMPORTRANGE(""https://docs.google.com/spreadsheets/d/1MeEWN-I1oV_STSDYn1IFDPWt_1FKiwhDph83XaGc0o0/edit?usp=sharing"",""งบพรบ!ER34"")"),91500)</f>
        <v>91500</v>
      </c>
      <c r="N333" s="93">
        <f ca="1">IFERROR(__xludf.DUMMYFUNCTION("IMPORTRANGE(""https://docs.google.com/spreadsheets/d/1MeEWN-I1oV_STSDYn1IFDPWt_1FKiwhDph83XaGc0o0/edit?usp=sharing"",""งบพรบ!ET34"")"),36835)</f>
        <v>36835</v>
      </c>
      <c r="O333" s="93">
        <f t="shared" ca="1" si="149"/>
        <v>20.128415300546447</v>
      </c>
      <c r="P333" s="93">
        <f t="shared" ca="1" si="150"/>
        <v>40.256830601092894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IFERROR(__xludf.DUMMYFUNCTION("IMPORTRANGE(""https://docs.google.com/spreadsheets/d/1QqKyyYR6Q21VydFLVH3TRQUabQu_ym0Zz7PgGX0-kHA/edit?usp=sharing"",""แผน!EG34"")"),3400)</f>
        <v>3400</v>
      </c>
      <c r="J338" s="269">
        <f ca="1">IFERROR(__xludf.DUMMYFUNCTION("IMPORTRANGE(""https://docs.google.com/spreadsheets/d/1kVcqe37tkHyjCSG3S0O1AXqVkqjo8mSIZil3BcpIysc/edit?usp=sharing"",""ศูนย์!D34"")"),922)</f>
        <v>922</v>
      </c>
      <c r="K338" s="496">
        <f ca="1">IF(I338&gt;0,J338*100/I338,0)</f>
        <v>27.117647058823529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IFERROR(__xludf.DUMMYFUNCTION("IMPORTRANGE(""https://docs.google.com/spreadsheets/d/1QqKyyYR6Q21VydFLVH3TRQUabQu_ym0Zz7PgGX0-kHA/edit?usp=sharing"",""แผน!EH34"")"),10)</f>
        <v>10</v>
      </c>
      <c r="J340" s="269">
        <f ca="1">IFERROR(__xludf.DUMMYFUNCTION("IMPORTRANGE(""https://docs.google.com/spreadsheets/d/1kVcqe37tkHyjCSG3S0O1AXqVkqjo8mSIZil3BcpIysc/edit?usp=sharing"",""ศูนย์!E34"")"),0)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IFERROR(__xludf.DUMMYFUNCTION("IMPORTRANGE(""https://docs.google.com/spreadsheets/d/1kVcqe37tkHyjCSG3S0O1AXqVkqjo8mSIZil3BcpIysc/edit?usp=sharing"",""ศูนย์!F34"")"),0)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IFERROR(__xludf.DUMMYFUNCTION("IMPORTRANGE(""https://docs.google.com/spreadsheets/d/1kVcqe37tkHyjCSG3S0O1AXqVkqjo8mSIZil3BcpIysc/edit?usp=sharing"",""ศูนย์!G34"")"),0)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IFERROR(__xludf.DUMMYFUNCTION("IMPORTRANGE(""https://docs.google.com/spreadsheets/d/1kVcqe37tkHyjCSG3S0O1AXqVkqjo8mSIZil3BcpIysc/edit?usp=sharing"",""ศูนย์!H34"")"),0)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1905220</v>
      </c>
      <c r="M345" s="155">
        <f t="shared" ca="1" si="154"/>
        <v>1028410</v>
      </c>
      <c r="N345" s="155">
        <f t="shared" ca="1" si="154"/>
        <v>536232</v>
      </c>
      <c r="O345" s="155">
        <f t="shared" ref="O345:O353" ca="1" si="155">IF(L345&gt;0,N345*100/L345,0)</f>
        <v>28.145411028647612</v>
      </c>
      <c r="P345" s="155">
        <f t="shared" ref="P345:P353" ca="1" si="156">IF(M345&gt;0,N345*100/M345,0)</f>
        <v>52.141850040353553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1905220</v>
      </c>
      <c r="M347" s="93">
        <f t="shared" ca="1" si="157"/>
        <v>1028410</v>
      </c>
      <c r="N347" s="93">
        <f t="shared" ca="1" si="157"/>
        <v>536232</v>
      </c>
      <c r="O347" s="93">
        <f t="shared" ca="1" si="155"/>
        <v>28.145411028647612</v>
      </c>
      <c r="P347" s="93">
        <f t="shared" ca="1" si="156"/>
        <v>52.141850040353553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1753620</v>
      </c>
      <c r="M348" s="496">
        <f t="shared" ca="1" si="158"/>
        <v>876810</v>
      </c>
      <c r="N348" s="496">
        <f t="shared" ca="1" si="158"/>
        <v>384632</v>
      </c>
      <c r="O348" s="496">
        <f t="shared" ca="1" si="155"/>
        <v>21.933600209851623</v>
      </c>
      <c r="P348" s="496">
        <f t="shared" ca="1" si="156"/>
        <v>43.867200419703245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IFERROR(__xludf.DUMMYFUNCTION("IMPORTRANGE(""https://docs.google.com/spreadsheets/d/1MeEWN-I1oV_STSDYn1IFDPWt_1FKiwhDph83XaGc0o0/edit?usp=sharing"",""งบพรบ!FB34"")"),876810)</f>
        <v>876810</v>
      </c>
      <c r="N350" s="93">
        <f ca="1">IFERROR(__xludf.DUMMYFUNCTION("IMPORTRANGE(""https://docs.google.com/spreadsheets/d/1MeEWN-I1oV_STSDYn1IFDPWt_1FKiwhDph83XaGc0o0/edit?usp=sharing"",""งบพรบ!FD34"")"),384632)</f>
        <v>384632</v>
      </c>
      <c r="O350" s="93">
        <f t="shared" ca="1" si="155"/>
        <v>21.933600209851623</v>
      </c>
      <c r="P350" s="93">
        <f t="shared" ca="1" si="156"/>
        <v>43.867200419703245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151600</v>
      </c>
      <c r="M351" s="496">
        <f t="shared" ca="1" si="159"/>
        <v>151600</v>
      </c>
      <c r="N351" s="496">
        <f t="shared" ca="1" si="159"/>
        <v>151600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IFERROR(__xludf.DUMMYFUNCTION("IMPORTRANGE(""https://docs.google.com/spreadsheets/d/1QqKyyYR6Q21VydFLVH3TRQUabQu_ym0Zz7PgGX0-kHA/edit?usp=sharing"",""แผน!EP34"")"),700)</f>
        <v>700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IFERROR(__xludf.DUMMYFUNCTION("IMPORTRANGE(""https://docs.google.com/spreadsheets/d/1XWAQStnk-4SwqDmLtmXYiTMKHgktTP8We1SCoS47DrQ/edit?usp=sharing"",""จัดที่ดิน!W34"")"),64)</f>
        <v>64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IFERROR(__xludf.DUMMYFUNCTION("IMPORTRANGE(""https://docs.google.com/spreadsheets/d/1QqKyyYR6Q21VydFLVH3TRQUabQu_ym0Zz7PgGX0-kHA/edit?usp=sharing"",""แผน!EO34"")"),7000)</f>
        <v>7000</v>
      </c>
      <c r="J359" s="269">
        <f ca="1">IFERROR(__xludf.DUMMYFUNCTION("IMPORTRANGE(""https://docs.google.com/spreadsheets/d/1XWAQStnk-4SwqDmLtmXYiTMKHgktTP8We1SCoS47DrQ/edit?usp=sharing"",""จัดที่ดิน!X34"")"),490.049999999999)</f>
        <v>490.04999999999899</v>
      </c>
      <c r="K359" s="496">
        <f t="shared" ca="1" si="160"/>
        <v>7.0007142857142712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IFERROR(__xludf.DUMMYFUNCTION("IMPORTRANGE(""https://docs.google.com/spreadsheets/d/1QqKyyYR6Q21VydFLVH3TRQUabQu_ym0Zz7PgGX0-kHA/edit?usp=sharing"",""แผน!EP34"")"),700)</f>
        <v>700</v>
      </c>
      <c r="J360" s="269">
        <f ca="1">IFERROR(__xludf.DUMMYFUNCTION("IMPORTRANGE(""https://docs.google.com/spreadsheets/d/1XWAQStnk-4SwqDmLtmXYiTMKHgktTP8We1SCoS47DrQ/edit?usp=sharing"",""จัดที่ดิน!Y34"")"),29)</f>
        <v>29</v>
      </c>
      <c r="K360" s="496">
        <f t="shared" ca="1" si="160"/>
        <v>4.1428571428571432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IFERROR(__xludf.DUMMYFUNCTION("IMPORTRANGE(""https://docs.google.com/spreadsheets/d/1XWAQStnk-4SwqDmLtmXYiTMKHgktTP8We1SCoS47DrQ/edit?usp=sharing"",""จัดที่ดิน!Z34"")"),286.6)</f>
        <v>286.60000000000002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IFERROR(__xludf.DUMMYFUNCTION("IMPORTRANGE(""https://docs.google.com/spreadsheets/d/1QqKyyYR6Q21VydFLVH3TRQUabQu_ym0Zz7PgGX0-kHA/edit?usp=sharing"",""แผน!EP34"")"),700)</f>
        <v>700</v>
      </c>
      <c r="J362" s="269">
        <f ca="1">IFERROR(__xludf.DUMMYFUNCTION("IMPORTRANGE(""https://docs.google.com/spreadsheets/d/1XWAQStnk-4SwqDmLtmXYiTMKHgktTP8We1SCoS47DrQ/edit?usp=sharing"",""จัดที่ดิน!AA34"")"),0)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IFERROR(__xludf.DUMMYFUNCTION("IMPORTRANGE(""https://docs.google.com/spreadsheets/d/1XWAQStnk-4SwqDmLtmXYiTMKHgktTP8We1SCoS47DrQ/edit?usp=sharing"",""จัดที่ดิน!AB34"")"),0)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1450</v>
      </c>
      <c r="J364" s="477">
        <f t="shared" ca="1" si="161"/>
        <v>0</v>
      </c>
      <c r="K364" s="478">
        <f t="shared" ca="1" si="160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IFERROR(__xludf.DUMMYFUNCTION("IMPORTRANGE(""https://docs.google.com/spreadsheets/d/1QqKyyYR6Q21VydFLVH3TRQUabQu_ym0Zz7PgGX0-kHA/edit?usp=sharing"",""แผน!EJ34"")"),100)</f>
        <v>100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IFERROR(__xludf.DUMMYFUNCTION("IMPORTRANGE(""https://docs.google.com/spreadsheets/d/1XWAQStnk-4SwqDmLtmXYiTMKHgktTP8We1SCoS47DrQ/edit?usp=sharing"",""จัดที่ดิน!E34"")"),12)</f>
        <v>12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IFERROR(__xludf.DUMMYFUNCTION("IMPORTRANGE(""https://docs.google.com/spreadsheets/d/1QqKyyYR6Q21VydFLVH3TRQUabQu_ym0Zz7PgGX0-kHA/edit?usp=sharing"",""แผน!EI34"")"),1000)</f>
        <v>1000</v>
      </c>
      <c r="J369" s="269">
        <f ca="1">IFERROR(__xludf.DUMMYFUNCTION("IMPORTRANGE(""https://docs.google.com/spreadsheets/d/1XWAQStnk-4SwqDmLtmXYiTMKHgktTP8We1SCoS47DrQ/edit?usp=sharing"",""จัดที่ดิน!F34"")"),74.97)</f>
        <v>74.97</v>
      </c>
      <c r="K369" s="496">
        <f t="shared" ca="1" si="162"/>
        <v>7.4969999999999999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IFERROR(__xludf.DUMMYFUNCTION("IMPORTRANGE(""https://docs.google.com/spreadsheets/d/1QqKyyYR6Q21VydFLVH3TRQUabQu_ym0Zz7PgGX0-kHA/edit?usp=sharing"",""แผน!EJ34"")"),100)</f>
        <v>100</v>
      </c>
      <c r="J370" s="269">
        <f ca="1">IFERROR(__xludf.DUMMYFUNCTION("IMPORTRANGE(""https://docs.google.com/spreadsheets/d/1XWAQStnk-4SwqDmLtmXYiTMKHgktTP8We1SCoS47DrQ/edit?usp=sharing"",""จัดที่ดิน!G34"")"),13)</f>
        <v>13</v>
      </c>
      <c r="K370" s="496">
        <f t="shared" ca="1" si="162"/>
        <v>13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IFERROR(__xludf.DUMMYFUNCTION("IMPORTRANGE(""https://docs.google.com/spreadsheets/d/1XWAQStnk-4SwqDmLtmXYiTMKHgktTP8We1SCoS47DrQ/edit?usp=sharing"",""จัดที่ดิน!H34"")"),142.25)</f>
        <v>142.25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IFERROR(__xludf.DUMMYFUNCTION("IMPORTRANGE(""https://docs.google.com/spreadsheets/d/1QqKyyYR6Q21VydFLVH3TRQUabQu_ym0Zz7PgGX0-kHA/edit?usp=sharing"",""แผน!EJ34"")"),100)</f>
        <v>100</v>
      </c>
      <c r="J372" s="269">
        <f ca="1">IFERROR(__xludf.DUMMYFUNCTION("IMPORTRANGE(""https://docs.google.com/spreadsheets/d/1XWAQStnk-4SwqDmLtmXYiTMKHgktTP8We1SCoS47DrQ/edit?usp=sharing"",""จัดที่ดิน!I34"")"),0)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IFERROR(__xludf.DUMMYFUNCTION("IMPORTRANGE(""https://docs.google.com/spreadsheets/d/1XWAQStnk-4SwqDmLtmXYiTMKHgktTP8We1SCoS47DrQ/edit?usp=sharing"",""จัดที่ดิน!J34"")"),0)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IFERROR(__xludf.DUMMYFUNCTION("IMPORTRANGE(""https://docs.google.com/spreadsheets/d/1QqKyyYR6Q21VydFLVH3TRQUabQu_ym0Zz7PgGX0-kHA/edit?usp=sharing"",""แผน!EU34"")"),1350)</f>
        <v>1350</v>
      </c>
      <c r="J374" s="489">
        <f ca="1">J381</f>
        <v>0</v>
      </c>
      <c r="K374" s="490">
        <f t="shared" ca="1" si="162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IFERROR(__xludf.DUMMYFUNCTION("IMPORTRANGE(""https://docs.google.com/spreadsheets/d/1XWAQStnk-4SwqDmLtmXYiTMKHgktTP8We1SCoS47DrQ/edit?usp=sharing"",""จัดที่ดิน!AH34"")"),52)</f>
        <v>52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IFERROR(__xludf.DUMMYFUNCTION("IMPORTRANGE(""https://docs.google.com/spreadsheets/d/1QqKyyYR6Q21VydFLVH3TRQUabQu_ym0Zz7PgGX0-kHA/edit?usp=sharing"",""แผน!ET34"")"),6000)</f>
        <v>6000</v>
      </c>
      <c r="J378" s="269">
        <f ca="1">IFERROR(__xludf.DUMMYFUNCTION("IMPORTRANGE(""https://docs.google.com/spreadsheets/d/1XWAQStnk-4SwqDmLtmXYiTMKHgktTP8We1SCoS47DrQ/edit?usp=sharing"",""จัดที่ดิน!AI34"")"),415.08)</f>
        <v>415.08</v>
      </c>
      <c r="K378" s="496">
        <f t="shared" ca="1" si="163"/>
        <v>6.9180000000000001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IFERROR(__xludf.DUMMYFUNCTION("IMPORTRANGE(""https://docs.google.com/spreadsheets/d/1QqKyyYR6Q21VydFLVH3TRQUabQu_ym0Zz7PgGX0-kHA/edit?usp=sharing"",""แผน!EU34"")"),1350)</f>
        <v>1350</v>
      </c>
      <c r="J379" s="269">
        <f ca="1">IFERROR(__xludf.DUMMYFUNCTION("IMPORTRANGE(""https://docs.google.com/spreadsheets/d/1XWAQStnk-4SwqDmLtmXYiTMKHgktTP8We1SCoS47DrQ/edit?usp=sharing"",""จัดที่ดิน!AJ34"")"),25)</f>
        <v>25</v>
      </c>
      <c r="K379" s="496">
        <f t="shared" ca="1" si="163"/>
        <v>1.8518518518518519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IFERROR(__xludf.DUMMYFUNCTION("IMPORTRANGE(""https://docs.google.com/spreadsheets/d/1XWAQStnk-4SwqDmLtmXYiTMKHgktTP8We1SCoS47DrQ/edit?usp=sharing"",""จัดที่ดิน!AK34"")"),282.88)</f>
        <v>282.88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IFERROR(__xludf.DUMMYFUNCTION("IMPORTRANGE(""https://docs.google.com/spreadsheets/d/1QqKyyYR6Q21VydFLVH3TRQUabQu_ym0Zz7PgGX0-kHA/edit?usp=sharing"",""แผน!EU34"")"),1350)</f>
        <v>1350</v>
      </c>
      <c r="J381" s="269">
        <f ca="1">IFERROR(__xludf.DUMMYFUNCTION("IMPORTRANGE(""https://docs.google.com/spreadsheets/d/1XWAQStnk-4SwqDmLtmXYiTMKHgktTP8We1SCoS47DrQ/edit?usp=sharing"",""จัดที่ดิน!AL34"")"),0)</f>
        <v>0</v>
      </c>
      <c r="K381" s="496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IFERROR(__xludf.DUMMYFUNCTION("IMPORTRANGE(""https://docs.google.com/spreadsheets/d/1XWAQStnk-4SwqDmLtmXYiTMKHgktTP8We1SCoS47DrQ/edit?usp=sharing"",""จัดที่ดิน!AM34"")"),0)</f>
        <v>0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IFERROR(__xludf.DUMMYFUNCTION("IMPORTRANGE(""https://docs.google.com/spreadsheets/d/1QqKyyYR6Q21VydFLVH3TRQUabQu_ym0Zz7PgGX0-kHA/edit?usp=sharing"",""แผน!EW34"")"),100)</f>
        <v>100</v>
      </c>
      <c r="J385" s="499">
        <f ca="1">IFERROR(__xludf.DUMMYFUNCTION("IMPORTRANGE(""https://docs.google.com/spreadsheets/d/1XWAQStnk-4SwqDmLtmXYiTMKHgktTP8We1SCoS47DrQ/edit?usp=sharing"",""จัดที่ดิน!AP34"")"),0)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2383884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IFERROR(__xludf.DUMMYFUNCTION("IMPORTRANGE(""https://docs.google.com/spreadsheets/d/1QqKyyYR6Q21VydFLVH3TRQUabQu_ym0Zz7PgGX0-kHA/edit?usp=sharing"",""แผน!FC34"")"),20)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IFERROR(__xludf.DUMMYFUNCTION("IMPORTRANGE(""https://docs.google.com/spreadsheets/d/1QqKyyYR6Q21VydFLVH3TRQUabQu_ym0Zz7PgGX0-kHA/edit?usp=sharing"",""แผน!FD34"")"),0)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IFERROR(__xludf.DUMMYFUNCTION("IMPORTRANGE(""https://docs.google.com/spreadsheets/d/1QqKyyYR6Q21VydFLVH3TRQUabQu_ym0Zz7PgGX0-kHA/edit?usp=sharing"",""แผน!FE34"")"),0)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IFERROR(__xludf.DUMMYFUNCTION("IMPORTRANGE(""https://docs.google.com/spreadsheets/d/1QqKyyYR6Q21VydFLVH3TRQUabQu_ym0Zz7PgGX0-kHA/edit?usp=sharing"",""แผน!FF34"")"),20)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IFERROR(__xludf.DUMMYFUNCTION("IMPORTRANGE(""https://docs.google.com/spreadsheets/d/1QqKyyYR6Q21VydFLVH3TRQUabQu_ym0Zz7PgGX0-kHA/edit?usp=sharing"",""แผน!FG34"")"),1)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IFERROR(__xludf.DUMMYFUNCTION("IMPORTRANGE(""https://docs.google.com/spreadsheets/d/1QqKyyYR6Q21VydFLVH3TRQUabQu_ym0Zz7PgGX0-kHA/edit?usp=sharing"",""แผน!FH34"")"),0)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 hidden="1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 hidden="1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 hidden="1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 hidden="1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 hidden="1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 hidden="1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 hidden="1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 hidden="1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 hidden="1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 hidden="1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IFERROR(__xludf.DUMMYFUNCTION("IMPORTRANGE(""https://docs.google.com/spreadsheets/d/1QqKyyYR6Q21VydFLVH3TRQUabQu_ym0Zz7PgGX0-kHA/edit?usp=sharing"",""แผน!FN34"")"),0)</f>
        <v>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 hidden="1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 hidden="1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IFERROR(__xludf.DUMMYFUNCTION("IMPORTRANGE(""https://docs.google.com/spreadsheets/d/1QqKyyYR6Q21VydFLVH3TRQUabQu_ym0Zz7PgGX0-kHA/edit?usp=sharing"",""แผน!FO34"")"),0)</f>
        <v>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 hidden="1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IFERROR(__xludf.DUMMYFUNCTION("IMPORTRANGE(""https://docs.google.com/spreadsheets/d/1QqKyyYR6Q21VydFLVH3TRQUabQu_ym0Zz7PgGX0-kHA/edit?usp=sharing"",""แผน!FO34"")"),0)</f>
        <v>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 hidden="1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IFERROR(__xludf.DUMMYFUNCTION("IMPORTRANGE(""https://docs.google.com/spreadsheets/d/1QqKyyYR6Q21VydFLVH3TRQUabQu_ym0Zz7PgGX0-kHA/edit?usp=sharing"",""แผน!FN34"")"),0)</f>
        <v>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IFERROR(__xludf.DUMMYFUNCTION("IMPORTRANGE(""https://docs.google.com/spreadsheets/d/1QqKyyYR6Q21VydFLVH3TRQUabQu_ym0Zz7PgGX0-kHA/edit?usp=sharing"",""แผน!FX34"")"),51)</f>
        <v>51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IFERROR(__xludf.DUMMYFUNCTION("IMPORTRANGE(""https://docs.google.com/spreadsheets/d/1QqKyyYR6Q21VydFLVH3TRQUabQu_ym0Zz7PgGX0-kHA/edit?usp=sharing"",""แผน!FW34"")"),500)</f>
        <v>500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403983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403983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403983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IFERROR(__xludf.DUMMYFUNCTION("IMPORTRANGE(""https://docs.google.com/spreadsheets/d/1QqKyyYR6Q21VydFLVH3TRQUabQu_ym0Zz7PgGX0-kHA/edit?usp=sharing"",""แผน!FS34"")"),403983)</f>
        <v>403983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IFERROR(__xludf.DUMMYFUNCTION("IMPORTRANGE(""https://docs.google.com/spreadsheets/d/1QqKyyYR6Q21VydFLVH3TRQUabQu_ym0Zz7PgGX0-kHA/edit?usp=sharing"",""แผน!FY34"")"),450)</f>
        <v>450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IFERROR(__xludf.DUMMYFUNCTION("IMPORTRANGE(""https://docs.google.com/spreadsheets/d/1QqKyyYR6Q21VydFLVH3TRQUabQu_ym0Zz7PgGX0-kHA/edit?usp=sharing"",""แผน!FZ34"")"),45)</f>
        <v>45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IFERROR(__xludf.DUMMYFUNCTION("IMPORTRANGE(""https://docs.google.com/spreadsheets/d/1QqKyyYR6Q21VydFLVH3TRQUabQu_ym0Zz7PgGX0-kHA/edit?usp=sharing"",""แผน!GA34"")"),50)</f>
        <v>50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IFERROR(__xludf.DUMMYFUNCTION("IMPORTRANGE(""https://docs.google.com/spreadsheets/d/1QqKyyYR6Q21VydFLVH3TRQUabQu_ym0Zz7PgGX0-kHA/edit?usp=sharing"",""แผน!GB34"")"),5)</f>
        <v>5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IFERROR(__xludf.DUMMYFUNCTION("IMPORTRANGE(""https://docs.google.com/spreadsheets/d/1QqKyyYR6Q21VydFLVH3TRQUabQu_ym0Zz7PgGX0-kHA/edit?usp=sharing"",""แผน!GC34"")"),1)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IFERROR(__xludf.DUMMYFUNCTION("IMPORTRANGE(""https://docs.google.com/spreadsheets/d/1QqKyyYR6Q21VydFLVH3TRQUabQu_ym0Zz7PgGX0-kHA/edit?usp=sharing"",""แผน!FY34"")"),450)</f>
        <v>450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IFERROR(__xludf.DUMMYFUNCTION("IMPORTRANGE(""https://docs.google.com/spreadsheets/d/1QqKyyYR6Q21VydFLVH3TRQUabQu_ym0Zz7PgGX0-kHA/edit?usp=sharing"",""แผน!GA34"")"),50)</f>
        <v>50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IFERROR(__xludf.DUMMYFUNCTION("IMPORTRANGE(""https://docs.google.com/spreadsheets/d/1QqKyyYR6Q21VydFLVH3TRQUabQu_ym0Zz7PgGX0-kHA/edit?usp=sharing"",""แผน!GU34"")"),0)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IFERROR(__xludf.DUMMYFUNCTION("IMPORTRANGE(""https://docs.google.com/spreadsheets/d/1QqKyyYR6Q21VydFLVH3TRQUabQu_ym0Zz7PgGX0-kHA/edit?usp=sharing"",""แผน!GV34"")"),0)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IFERROR(__xludf.DUMMYFUNCTION("IMPORTRANGE(""https://docs.google.com/spreadsheets/d/1QqKyyYR6Q21VydFLVH3TRQUabQu_ym0Zz7PgGX0-kHA/edit?usp=sharing"",""แผน!GW34"")"),0)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IFERROR(__xludf.DUMMYFUNCTION("IMPORTRANGE(""https://docs.google.com/spreadsheets/d/1QqKyyYR6Q21VydFLVH3TRQUabQu_ym0Zz7PgGX0-kHA/edit?usp=sharing"",""แผน!GX34"")"),0)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IFERROR(__xludf.DUMMYFUNCTION("IMPORTRANGE(""https://docs.google.com/spreadsheets/d/1QqKyyYR6Q21VydFLVH3TRQUabQu_ym0Zz7PgGX0-kHA/edit?usp=sharing"",""แผน!GY34"")"),0)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IFERROR(__xludf.DUMMYFUNCTION("IMPORTRANGE(""https://docs.google.com/spreadsheets/d/1QqKyyYR6Q21VydFLVH3TRQUabQu_ym0Zz7PgGX0-kHA/edit?usp=sharing"",""แผน!GZ34"")"),0)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99295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685871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685871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685871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IFERROR(__xludf.DUMMYFUNCTION("IMPORTRANGE(""https://docs.google.com/spreadsheets/d/1QqKyyYR6Q21VydFLVH3TRQUabQu_ym0Zz7PgGX0-kHA/edit?usp=sharing"",""แผน!HB34"")"),685871)</f>
        <v>685871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99295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IFERROR(__xludf.DUMMYFUNCTION("IMPORTRANGE(""https://docs.google.com/spreadsheets/d/1QqKyyYR6Q21VydFLVH3TRQUabQu_ym0Zz7PgGX0-kHA/edit?usp=sharing"",""แผน!HH34"")"),99295)</f>
        <v>99295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IFERROR(__xludf.DUMMYFUNCTION("IMPORTRANGE(""https://docs.google.com/spreadsheets/d/1QqKyyYR6Q21VydFLVH3TRQUabQu_ym0Zz7PgGX0-kHA/edit?usp=sharing"",""แผน!HH34"")"),99295)</f>
        <v>99295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IFERROR(__xludf.DUMMYFUNCTION("IMPORTRANGE(""https://docs.google.com/spreadsheets/d/1QqKyyYR6Q21VydFLVH3TRQUabQu_ym0Zz7PgGX0-kHA/edit?usp=sharing"",""แผน!HH34"")"),99295)</f>
        <v>99295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8464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IFERROR(__xludf.DUMMYFUNCTION("IMPORTRANGE(""https://docs.google.com/spreadsheets/d/1QqKyyYR6Q21VydFLVH3TRQUabQu_ym0Zz7PgGX0-kHA/edit?usp=sharing"",""แผน!HJ34"")"),8464)</f>
        <v>8464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IFERROR(__xludf.DUMMYFUNCTION("IMPORTRANGE(""https://docs.google.com/spreadsheets/d/1QqKyyYR6Q21VydFLVH3TRQUabQu_ym0Zz7PgGX0-kHA/edit?usp=sharing"",""แผน!HL34"")"),0)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IFERROR(__xludf.DUMMYFUNCTION("IMPORTRANGE(""https://docs.google.com/spreadsheets/d/1QqKyyYR6Q21VydFLVH3TRQUabQu_ym0Zz7PgGX0-kHA/edit?usp=sharing"",""แผน!HK34"")"),0)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1200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1142370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1142370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1142370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IFERROR(__xludf.DUMMYFUNCTION("IMPORTRANGE(""https://docs.google.com/spreadsheets/d/1QqKyyYR6Q21VydFLVH3TRQUabQu_ym0Zz7PgGX0-kHA/edit?usp=sharing"",""แผน!HR34"")"),0)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IFERROR(__xludf.DUMMYFUNCTION("IMPORTRANGE(""https://docs.google.com/spreadsheets/d/1QqKyyYR6Q21VydFLVH3TRQUabQu_ym0Zz7PgGX0-kHA/edit?usp=sharing"",""แผน!HR34"")"),0)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IFERROR(__xludf.DUMMYFUNCTION("IMPORTRANGE(""https://docs.google.com/spreadsheets/d/1XWAQStnk-4SwqDmLtmXYiTMKHgktTP8We1SCoS47DrQ/edit?usp=sharing"",""จัดที่ดิน!AS34"")"),250)</f>
        <v>250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IFERROR(__xludf.DUMMYFUNCTION("IMPORTRANGE(""https://docs.google.com/spreadsheets/d/1XWAQStnk-4SwqDmLtmXYiTMKHgktTP8We1SCoS47DrQ/edit?usp=sharing"",""จัดที่ดิน!AT34"")"),133.57)</f>
        <v>133.57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IFERROR(__xludf.DUMMYFUNCTION("IMPORTRANGE(""https://docs.google.com/spreadsheets/d/1QqKyyYR6Q21VydFLVH3TRQUabQu_ym0Zz7PgGX0-kHA/edit?usp=sharing"",""แผน!HS34"")"),1200)</f>
        <v>1200</v>
      </c>
      <c r="J647" s="269">
        <f ca="1">IFERROR(__xludf.DUMMYFUNCTION("IMPORTRANGE(""https://docs.google.com/spreadsheets/d/1XWAQStnk-4SwqDmLtmXYiTMKHgktTP8We1SCoS47DrQ/edit?usp=sharing"",""จัดที่ดิน!AU34"")"),0)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IFERROR(__xludf.DUMMYFUNCTION("IMPORTRANGE(""https://docs.google.com/spreadsheets/d/1XWAQStnk-4SwqDmLtmXYiTMKHgktTP8We1SCoS47DrQ/edit?usp=sharing"",""จัดที่ดิน!AV34"")"),0)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IFERROR(__xludf.DUMMYFUNCTION("IMPORTRANGE(""https://docs.google.com/spreadsheets/d/1QqKyyYR6Q21VydFLVH3TRQUabQu_ym0Zz7PgGX0-kHA/edit?usp=sharing"",""แผน!HS34"")"),1200)</f>
        <v>1200</v>
      </c>
      <c r="J649" s="269">
        <f ca="1">IFERROR(__xludf.DUMMYFUNCTION("IMPORTRANGE(""https://docs.google.com/spreadsheets/d/1XWAQStnk-4SwqDmLtmXYiTMKHgktTP8We1SCoS47DrQ/edit?usp=sharing"",""จัดที่ดิน!AW34"")"),0)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IFERROR(__xludf.DUMMYFUNCTION("IMPORTRANGE(""https://docs.google.com/spreadsheets/d/1XWAQStnk-4SwqDmLtmXYiTMKHgktTP8We1SCoS47DrQ/edit?usp=sharing"",""จัดที่ดิน!AX34"")"),0)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IFERROR(__xludf.DUMMYFUNCTION("IMPORTRANGE(""https://docs.google.com/spreadsheets/d/1QqKyyYR6Q21VydFLVH3TRQUabQu_ym0Zz7PgGX0-kHA/edit?usp=sharing"",""แผน!HS34"")"),1200)</f>
        <v>1200</v>
      </c>
      <c r="J651" s="269">
        <f ca="1">IFERROR(__xludf.DUMMYFUNCTION("IMPORTRANGE(""https://docs.google.com/spreadsheets/d/1XWAQStnk-4SwqDmLtmXYiTMKHgktTP8We1SCoS47DrQ/edit?usp=sharing"",""จัดที่ดิน!AY34"")"),0)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IFERROR(__xludf.DUMMYFUNCTION("IMPORTRANGE(""https://docs.google.com/spreadsheets/d/1XWAQStnk-4SwqDmLtmXYiTMKHgktTP8We1SCoS47DrQ/edit?usp=sharing"",""จัดที่ดิน!AZ34"")"),0)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100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15600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15600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15600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IFERROR(__xludf.DUMMYFUNCTION("IMPORTRANGE(""https://docs.google.com/spreadsheets/d/1QqKyyYR6Q21VydFLVH3TRQUabQu_ym0Zz7PgGX0-kHA/edit?usp=sharing"",""แผน!IA34"")"),100)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IFERROR(__xludf.DUMMYFUNCTION("IMPORTRANGE(""https://docs.google.com/spreadsheets/d/1QqKyyYR6Q21VydFLVH3TRQUabQu_ym0Zz7PgGX0-kHA/edit?usp=sharing"",""แผน!HZ34"")"),6)</f>
        <v>6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IFERROR(__xludf.DUMMYFUNCTION("IMPORTRANGE(""https://docs.google.com/spreadsheets/d/1QqKyyYR6Q21VydFLVH3TRQUabQu_ym0Zz7PgGX0-kHA/edit?usp=sharing"",""แผน!HZ34"")"),6)</f>
        <v>6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IFERROR(__xludf.DUMMYFUNCTION("IMPORTRANGE(""https://docs.google.com/spreadsheets/d/1QqKyyYR6Q21VydFLVH3TRQUabQu_ym0Zz7PgGX0-kHA/edit?usp=sharing"",""แผน!IB34"")"),0)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57400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57400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57400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IFERROR(__xludf.DUMMYFUNCTION("IMPORTRANGE(""https://docs.google.com/spreadsheets/d/1QqKyyYR6Q21VydFLVH3TRQUabQu_ym0Zz7PgGX0-kHA/edit?usp=sharing"",""แผน!IC34"")"),0)</f>
        <v>0</v>
      </c>
      <c r="J699" s="269">
        <f ca="1">IFERROR(__xludf.DUMMYFUNCTION("IMPORTRANGE(""https://docs.google.com/spreadsheets/d/1XWAQStnk-4SwqDmLtmXYiTMKHgktTP8We1SCoS47DrQ/edit?usp=sharing"",""จัดที่ดิน!BB34"")"),0)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IFERROR(__xludf.DUMMYFUNCTION("IMPORTRANGE(""https://docs.google.com/spreadsheets/d/1QqKyyYR6Q21VydFLVH3TRQUabQu_ym0Zz7PgGX0-kHA/edit?usp=sharing"",""แผน!ID34"")"),23)</f>
        <v>23</v>
      </c>
      <c r="J700" s="269">
        <f ca="1">IFERROR(__xludf.DUMMYFUNCTION("IMPORTRANGE(""https://docs.google.com/spreadsheets/d/1XWAQStnk-4SwqDmLtmXYiTMKHgktTP8We1SCoS47DrQ/edit?usp=sharing"",""จัดที่ดิน!BD34"")"),7)</f>
        <v>7</v>
      </c>
      <c r="K700" s="496">
        <f t="shared" ca="1" si="289"/>
        <v>30.434782608695652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IFERROR(__xludf.DUMMYFUNCTION("IMPORTRANGE(""https://docs.google.com/spreadsheets/d/1QqKyyYR6Q21VydFLVH3TRQUabQu_ym0Zz7PgGX0-kHA/edit?usp=sharing"",""แผน!IE34"")"),1368)</f>
        <v>1368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IFERROR(__xludf.DUMMYFUNCTION("IMPORTRANGE(""https://docs.google.com/spreadsheets/d/1QqKyyYR6Q21VydFLVH3TRQUabQu_ym0Zz7PgGX0-kHA/edit?usp=sharing"",""แผน!IF34"")"),36)</f>
        <v>36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IFERROR(__xludf.DUMMYFUNCTION("IMPORTRANGE(""https://docs.google.com/spreadsheets/d/1QqKyyYR6Q21VydFLVH3TRQUabQu_ym0Zz7PgGX0-kHA/edit?usp=sharing"",""แผน!IG34"")"),1332)</f>
        <v>1332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IFERROR(__xludf.DUMMYFUNCTION("IMPORTRANGE(""https://docs.google.com/spreadsheets/d/1QqKyyYR6Q21VydFLVH3TRQUabQu_ym0Zz7PgGX0-kHA/edit?usp=sharing"",""แผน!IH34"")"),84)</f>
        <v>84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IFERROR(__xludf.DUMMYFUNCTION("IMPORTRANGE(""https://docs.google.com/spreadsheets/d/1XWAQStnk-4SwqDmLtmXYiTMKHgktTP8We1SCoS47DrQ/edit?usp=sharing"",""จัดที่ดิน!BF34"")"),0)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IFERROR(__xludf.DUMMYFUNCTION("IMPORTRANGE(""https://docs.google.com/spreadsheets/d/1XWAQStnk-4SwqDmLtmXYiTMKHgktTP8We1SCoS47DrQ/edit?usp=sharing"",""จัดที่ดิน!BG34"")"),0)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IFERROR(__xludf.DUMMYFUNCTION("IMPORTRANGE(""https://docs.google.com/spreadsheets/d/1QqKyyYR6Q21VydFLVH3TRQUabQu_ym0Zz7PgGX0-kHA/edit?usp=sharing"",""แผน!II34"")"),0)</f>
        <v>0</v>
      </c>
      <c r="J720" s="269">
        <f ca="1">IFERROR(__xludf.DUMMYFUNCTION("IMPORTRANGE(""https://docs.google.com/spreadsheets/d/1XWAQStnk-4SwqDmLtmXYiTMKHgktTP8We1SCoS47DrQ/edit?usp=sharing"",""จัดที่ดิน!BH34"")"),0)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IFERROR(__xludf.DUMMYFUNCTION("IMPORTRANGE(""https://docs.google.com/spreadsheets/d/1QqKyyYR6Q21VydFLVH3TRQUabQu_ym0Zz7PgGX0-kHA/edit?usp=sharing"",""แผน!IJ34"")"),45)</f>
        <v>45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IFERROR(__xludf.DUMMYFUNCTION("IMPORTRANGE(""https://docs.google.com/spreadsheets/d/1QqKyyYR6Q21VydFLVH3TRQUabQu_ym0Zz7PgGX0-kHA/edit?usp=sharing"",""แผน!IK34"")"),540)</f>
        <v>540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IFERROR(__xludf.DUMMYFUNCTION("IMPORTRANGE(""https://docs.google.com/spreadsheets/d/1QqKyyYR6Q21VydFLVH3TRQUabQu_ym0Zz7PgGX0-kHA/edit?usp=sharing"",""แผน!IL34"")"),45)</f>
        <v>45</v>
      </c>
      <c r="J723" s="269">
        <f ca="1">IFERROR(__xludf.DUMMYFUNCTION("IMPORTRANGE(""https://docs.google.com/spreadsheets/d/1XWAQStnk-4SwqDmLtmXYiTMKHgktTP8We1SCoS47DrQ/edit?usp=sharing"",""จัดที่ดิน!BM34"")"),0)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IFERROR(__xludf.DUMMYFUNCTION("IMPORTRANGE(""https://docs.google.com/spreadsheets/d/1XWAQStnk-4SwqDmLtmXYiTMKHgktTP8We1SCoS47DrQ/edit?usp=sharing"",""จัดที่ดิน!BN34"")"),0)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IFERROR(__xludf.DUMMYFUNCTION("IMPORTRANGE(""https://docs.google.com/spreadsheets/d/1QqKyyYR6Q21VydFLVH3TRQUabQu_ym0Zz7PgGX0-kHA/edit?usp=sharing"",""แผน!IM34"")"),540)</f>
        <v>540</v>
      </c>
      <c r="J725" s="269">
        <f ca="1">IFERROR(__xludf.DUMMYFUNCTION("IMPORTRANGE(""https://docs.google.com/spreadsheets/d/1XWAQStnk-4SwqDmLtmXYiTMKHgktTP8We1SCoS47DrQ/edit?usp=sharing"",""จัดที่ดิน!BO34"")"),0)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IFERROR(__xludf.DUMMYFUNCTION("IMPORTRANGE(""https://docs.google.com/spreadsheets/d/1QqKyyYR6Q21VydFLVH3TRQUabQu_ym0Zz7PgGX0-kHA/edit?usp=sharing"",""แผน!IN34"")"),0)</f>
        <v>0</v>
      </c>
      <c r="J726" s="269">
        <f ca="1">IFERROR(__xludf.DUMMYFUNCTION("IMPORTRANGE(""https://docs.google.com/spreadsheets/d/1XWAQStnk-4SwqDmLtmXYiTMKHgktTP8We1SCoS47DrQ/edit?usp=sharing"",""จัดที่ดิน!BR34"")"),0)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IFERROR(__xludf.DUMMYFUNCTION("IMPORTRANGE(""https://docs.google.com/spreadsheets/d/1XWAQStnk-4SwqDmLtmXYiTMKHgktTP8We1SCoS47DrQ/edit?usp=sharing"",""จัดที่ดิน!BS34"")"),0)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IFERROR(__xludf.DUMMYFUNCTION("IMPORTRANGE(""https://docs.google.com/spreadsheets/d/1QqKyyYR6Q21VydFLVH3TRQUabQu_ym0Zz7PgGX0-kHA/edit?usp=sharing"",""แผน!IO34"")"),0)</f>
        <v>0</v>
      </c>
      <c r="J728" s="269">
        <f ca="1">IFERROR(__xludf.DUMMYFUNCTION("IMPORTRANGE(""https://docs.google.com/spreadsheets/d/1XWAQStnk-4SwqDmLtmXYiTMKHgktTP8We1SCoS47DrQ/edit?usp=sharing"",""จัดที่ดิน!BT34"")"),0)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IFERROR(__xludf.DUMMYFUNCTION("IMPORTRANGE(""https://docs.google.com/spreadsheets/d/1QqKyyYR6Q21VydFLVH3TRQUabQu_ym0Zz7PgGX0-kHA/edit?usp=sharing"",""แผน!IP34"")"),192)</f>
        <v>192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IFERROR(__xludf.DUMMYFUNCTION("IMPORTRANGE(""https://docs.google.com/spreadsheets/d/1MaWodYyGHDf7siQLGxnXhG4mBNTNIuy296niS2xXulU/edit?usp=sharing"",""RTK!I34"")"),0)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69">
        <f ca="1">IFERROR(__xludf.DUMMYFUNCTION("IMPORTRANGE(""https://docs.google.com/spreadsheets/d/19vJNZY_5yjcGF2XGBMNZRCAIB0Kwfpjp8YEOfu-bneM/edit?usp=sharing"",""งานกองทุน!F34"")"),150000)</f>
        <v>150000</v>
      </c>
      <c r="K821" s="496">
        <f t="shared" ref="K821:K828" ca="1" si="334">IF(I821&gt;0,J821*100/I821,0)</f>
        <v>4.7048733919197554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IFERROR(__xludf.DUMMYFUNCTION("IMPORTRANGE(""https://docs.google.com/spreadsheets/d/19vJNZY_5yjcGF2XGBMNZRCAIB0Kwfpjp8YEOfu-bneM/edit?usp=sharing"",""งานกองทุน!C34"")"),96)</f>
        <v>96</v>
      </c>
      <c r="J822" s="269">
        <f ca="1">IFERROR(__xludf.DUMMYFUNCTION("IMPORTRANGE(""https://docs.google.com/spreadsheets/d/19vJNZY_5yjcGF2XGBMNZRCAIB0Kwfpjp8YEOfu-bneM/edit?usp=sharing"",""งานกองทุน!E34"")"),5)</f>
        <v>5</v>
      </c>
      <c r="K822" s="496">
        <f t="shared" ca="1" si="334"/>
        <v>5.208333333333333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69">
        <f ca="1">IFERROR(__xludf.DUMMYFUNCTION("IMPORTRANGE(""https://docs.google.com/spreadsheets/d/19vJNZY_5yjcGF2XGBMNZRCAIB0Kwfpjp8YEOfu-bneM/edit?usp=sharing"",""งานกองทุน!K34"")"),1474.86)</f>
        <v>1474.86</v>
      </c>
      <c r="K823" s="496">
        <f t="shared" ca="1" si="334"/>
        <v>1.8337716042825716E-2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IFERROR(__xludf.DUMMYFUNCTION("IMPORTRANGE(""https://docs.google.com/spreadsheets/d/19vJNZY_5yjcGF2XGBMNZRCAIB0Kwfpjp8YEOfu-bneM/edit?usp=sharing"",""งานกองทุน!H34"")"),335)</f>
        <v>335</v>
      </c>
      <c r="J824" s="269">
        <f ca="1">IFERROR(__xludf.DUMMYFUNCTION("IMPORTRANGE(""https://docs.google.com/spreadsheets/d/19vJNZY_5yjcGF2XGBMNZRCAIB0Kwfpjp8YEOfu-bneM/edit?usp=sharing"",""งานกองทุน!J34"")"),1)</f>
        <v>1</v>
      </c>
      <c r="K824" s="496">
        <f t="shared" ca="1" si="334"/>
        <v>0.29850746268656714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IFERROR(__xludf.DUMMYFUNCTION("IMPORTRANGE(""https://docs.google.com/spreadsheets/d/19vJNZY_5yjcGF2XGBMNZRCAIB0Kwfpjp8YEOfu-bneM/edit?usp=sharing"",""งานกองทุน!N34"")"),835594.96)</f>
        <v>835594.96</v>
      </c>
      <c r="J825" s="269">
        <f ca="1">IFERROR(__xludf.DUMMYFUNCTION("IMPORTRANGE(""https://docs.google.com/spreadsheets/d/19vJNZY_5yjcGF2XGBMNZRCAIB0Kwfpjp8YEOfu-bneM/edit?usp=sharing"",""งานกองทุน!P34"")"),417978.26)</f>
        <v>417978.26</v>
      </c>
      <c r="K825" s="496">
        <f t="shared" ca="1" si="334"/>
        <v>50.021634883963401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IFERROR(__xludf.DUMMYFUNCTION("IMPORTRANGE(""https://docs.google.com/spreadsheets/d/19vJNZY_5yjcGF2XGBMNZRCAIB0Kwfpjp8YEOfu-bneM/edit?usp=sharing"",""งานกองทุน!M34"")"),5)</f>
        <v>5</v>
      </c>
      <c r="J826" s="269">
        <f ca="1">IFERROR(__xludf.DUMMYFUNCTION("IMPORTRANGE(""https://docs.google.com/spreadsheets/d/19vJNZY_5yjcGF2XGBMNZRCAIB0Kwfpjp8YEOfu-bneM/edit?usp=sharing"",""งานกองทุน!O34"")"),6)</f>
        <v>6</v>
      </c>
      <c r="K826" s="496">
        <f t="shared" ca="1" si="334"/>
        <v>120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IFERROR(__xludf.DUMMYFUNCTION("IMPORTRANGE(""https://docs.google.com/spreadsheets/d/19vJNZY_5yjcGF2XGBMNZRCAIB0Kwfpjp8YEOfu-bneM/edit?usp=sharing"",""งานกองทุน!S34"")"),3930000)</f>
        <v>3930000</v>
      </c>
      <c r="J827" s="269">
        <f ca="1">IFERROR(__xludf.DUMMYFUNCTION("IMPORTRANGE(""https://docs.google.com/spreadsheets/d/19vJNZY_5yjcGF2XGBMNZRCAIB0Kwfpjp8YEOfu-bneM/edit?usp=sharing"",""งานกองทุน!U34"")"),0)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IFERROR(__xludf.DUMMYFUNCTION("IMPORTRANGE(""https://docs.google.com/spreadsheets/d/19vJNZY_5yjcGF2XGBMNZRCAIB0Kwfpjp8YEOfu-bneM/edit?usp=sharing"",""งานกองทุน!R34"")"),157)</f>
        <v>157</v>
      </c>
      <c r="J828" s="499">
        <f ca="1">IFERROR(__xludf.DUMMYFUNCTION("IMPORTRANGE(""https://docs.google.com/spreadsheets/d/19vJNZY_5yjcGF2XGBMNZRCAIB0Kwfpjp8YEOfu-bneM/edit?usp=sharing"",""งานกองทุน!T34"")"),20)</f>
        <v>20</v>
      </c>
      <c r="K828" s="500">
        <f t="shared" ca="1" si="334"/>
        <v>12.738853503184714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BA304-22F8-46C9-9D37-486432937B9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338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5311779</v>
      </c>
      <c r="M8" s="21">
        <f t="shared" ca="1" si="0"/>
        <v>1765695</v>
      </c>
      <c r="N8" s="21">
        <f t="shared" ca="1" si="0"/>
        <v>504085.76000000001</v>
      </c>
      <c r="O8" s="21">
        <f t="shared" ref="O8:O16" ca="1" si="1">IF(L8&gt;0,N8*100/L8,0)</f>
        <v>9.4899610846008464</v>
      </c>
      <c r="P8" s="21">
        <f t="shared" ref="P8:P16" ca="1" si="2">IF(M8&gt;0,N8*100/M8,0)</f>
        <v>28.548858098369198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5311779</v>
      </c>
      <c r="M10" s="30">
        <f t="shared" ca="1" si="3"/>
        <v>1765695</v>
      </c>
      <c r="N10" s="30">
        <f t="shared" ca="1" si="3"/>
        <v>504085.76000000001</v>
      </c>
      <c r="O10" s="30">
        <f t="shared" ca="1" si="1"/>
        <v>9.4899610846008464</v>
      </c>
      <c r="P10" s="30">
        <f t="shared" ca="1" si="2"/>
        <v>28.548858098369198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5136379</v>
      </c>
      <c r="M11" s="496">
        <f t="shared" ca="1" si="4"/>
        <v>1590295</v>
      </c>
      <c r="N11" s="496">
        <f t="shared" ca="1" si="4"/>
        <v>342685.76</v>
      </c>
      <c r="O11" s="496">
        <f t="shared" ca="1" si="1"/>
        <v>6.6717382031193573</v>
      </c>
      <c r="P11" s="496">
        <f t="shared" ca="1" si="2"/>
        <v>21.548565517718412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5136379</v>
      </c>
      <c r="M13" s="93">
        <f t="shared" ca="1" si="5"/>
        <v>1590295</v>
      </c>
      <c r="N13" s="93">
        <f t="shared" ca="1" si="5"/>
        <v>342685.76</v>
      </c>
      <c r="O13" s="93">
        <f t="shared" ca="1" si="1"/>
        <v>6.6717382031193573</v>
      </c>
      <c r="P13" s="93">
        <f t="shared" ca="1" si="2"/>
        <v>21.548565517718412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175400</v>
      </c>
      <c r="M14" s="496">
        <f t="shared" ca="1" si="6"/>
        <v>175400</v>
      </c>
      <c r="N14" s="496">
        <f t="shared" ca="1" si="6"/>
        <v>161400</v>
      </c>
      <c r="O14" s="496">
        <f t="shared" ca="1" si="1"/>
        <v>92.018244013683017</v>
      </c>
      <c r="P14" s="496">
        <f t="shared" ca="1" si="2"/>
        <v>92.018244013683017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175400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92.018244013683017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3362475</v>
      </c>
      <c r="M18" s="21">
        <f t="shared" ca="1" si="8"/>
        <v>1765695</v>
      </c>
      <c r="N18" s="21">
        <f t="shared" ca="1" si="8"/>
        <v>504085.76000000001</v>
      </c>
      <c r="O18" s="21">
        <f t="shared" ref="O18:O26" ca="1" si="9">IF(L18&gt;0,N18*100/L18,0)</f>
        <v>14.99150952795188</v>
      </c>
      <c r="P18" s="21">
        <f t="shared" ref="P18:P26" ca="1" si="10">IF(M18&gt;0,N18*100/M18,0)</f>
        <v>28.548858098369198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1765695</v>
      </c>
      <c r="N20" s="30">
        <f t="shared" ca="1" si="11"/>
        <v>504085.76000000001</v>
      </c>
      <c r="O20" s="30">
        <f t="shared" ca="1" si="9"/>
        <v>14.99150952795188</v>
      </c>
      <c r="P20" s="30">
        <f t="shared" ca="1" si="10"/>
        <v>28.548858098369198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3187075</v>
      </c>
      <c r="M21" s="496">
        <f t="shared" ca="1" si="12"/>
        <v>1590295</v>
      </c>
      <c r="N21" s="496">
        <f t="shared" ca="1" si="12"/>
        <v>342685.76</v>
      </c>
      <c r="O21" s="496">
        <f t="shared" ca="1" si="9"/>
        <v>10.752359451848482</v>
      </c>
      <c r="P21" s="496">
        <f t="shared" ca="1" si="10"/>
        <v>21.548565517718412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3187075</v>
      </c>
      <c r="M23" s="93">
        <f t="shared" ca="1" si="13"/>
        <v>1590295</v>
      </c>
      <c r="N23" s="93">
        <f t="shared" ca="1" si="13"/>
        <v>342685.76</v>
      </c>
      <c r="O23" s="93">
        <f t="shared" ca="1" si="9"/>
        <v>10.752359451848482</v>
      </c>
      <c r="P23" s="93">
        <f t="shared" ca="1" si="10"/>
        <v>21.548565517718412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175400</v>
      </c>
      <c r="M24" s="496">
        <f t="shared" ca="1" si="14"/>
        <v>175400</v>
      </c>
      <c r="N24" s="496">
        <f t="shared" ca="1" si="14"/>
        <v>161400</v>
      </c>
      <c r="O24" s="496">
        <f t="shared" ca="1" si="9"/>
        <v>92.018244013683017</v>
      </c>
      <c r="P24" s="496">
        <f t="shared" ca="1" si="10"/>
        <v>92.018244013683017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175400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92.018244013683017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1949304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1949304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1949304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1949304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3362475</v>
      </c>
      <c r="M37" s="59">
        <f t="shared" ca="1" si="24"/>
        <v>1765695</v>
      </c>
      <c r="N37" s="59">
        <f t="shared" ca="1" si="24"/>
        <v>504085.76000000001</v>
      </c>
      <c r="O37" s="59">
        <f t="shared" ca="1" si="17"/>
        <v>14.99150952795188</v>
      </c>
      <c r="P37" s="59">
        <f t="shared" ca="1" si="18"/>
        <v>28.548858098369198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432900</v>
      </c>
      <c r="M41" s="84">
        <f t="shared" ca="1" si="25"/>
        <v>217800</v>
      </c>
      <c r="N41" s="84">
        <f t="shared" ca="1" si="25"/>
        <v>70500</v>
      </c>
      <c r="O41" s="84">
        <f t="shared" ref="O41:O49" ca="1" si="26">IF(L41&gt;0,N41*100/L41,0)</f>
        <v>16.285516285516284</v>
      </c>
      <c r="P41" s="84">
        <f t="shared" ref="P41:P49" ca="1" si="27">IF(M41&gt;0,N41*100/M41,0)</f>
        <v>32.369146005509641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217800</v>
      </c>
      <c r="N43" s="92">
        <f t="shared" ca="1" si="28"/>
        <v>70500</v>
      </c>
      <c r="O43" s="92">
        <f t="shared" ca="1" si="26"/>
        <v>16.285516285516284</v>
      </c>
      <c r="P43" s="92">
        <f t="shared" ca="1" si="27"/>
        <v>32.369146005509641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432900</v>
      </c>
      <c r="M44" s="496">
        <f t="shared" ca="1" si="29"/>
        <v>217800</v>
      </c>
      <c r="N44" s="496">
        <f t="shared" ca="1" si="29"/>
        <v>70500</v>
      </c>
      <c r="O44" s="496">
        <f t="shared" ca="1" si="26"/>
        <v>16.285516285516284</v>
      </c>
      <c r="P44" s="496">
        <f t="shared" ca="1" si="27"/>
        <v>32.369146005509641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IFERROR(__xludf.DUMMYFUNCTION("IMPORTRANGE(""https://docs.google.com/spreadsheets/d/1MeEWN-I1oV_STSDYn1IFDPWt_1FKiwhDph83XaGc0o0/edit?usp=sharing"",""งบพรบ!R35"")"),217800)</f>
        <v>217800</v>
      </c>
      <c r="N46" s="93">
        <f ca="1">IFERROR(__xludf.DUMMYFUNCTION("IMPORTRANGE(""https://docs.google.com/spreadsheets/d/1MeEWN-I1oV_STSDYn1IFDPWt_1FKiwhDph83XaGc0o0/edit?usp=sharing"",""งบพรบ!T35"")"),70500)</f>
        <v>70500</v>
      </c>
      <c r="O46" s="93">
        <f t="shared" ca="1" si="26"/>
        <v>16.285516285516284</v>
      </c>
      <c r="P46" s="93">
        <f t="shared" ca="1" si="27"/>
        <v>32.369146005509641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673900</v>
      </c>
      <c r="M53" s="115">
        <f t="shared" ca="1" si="31"/>
        <v>356850</v>
      </c>
      <c r="N53" s="115">
        <f t="shared" ca="1" si="31"/>
        <v>81396.570000000007</v>
      </c>
      <c r="O53" s="115">
        <f t="shared" ref="O53:O61" ca="1" si="32">IF(L53&gt;0,N53*100/L53,0)</f>
        <v>12.07843448582876</v>
      </c>
      <c r="P53" s="115">
        <f t="shared" ref="P53:P61" ca="1" si="33">IF(M53&gt;0,N53*100/M53,0)</f>
        <v>22.809743589743594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356850</v>
      </c>
      <c r="N55" s="123">
        <f t="shared" ca="1" si="34"/>
        <v>81396.570000000007</v>
      </c>
      <c r="O55" s="123">
        <f t="shared" ca="1" si="32"/>
        <v>12.07843448582876</v>
      </c>
      <c r="P55" s="123">
        <f t="shared" ca="1" si="33"/>
        <v>22.809743589743594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634100</v>
      </c>
      <c r="M56" s="496">
        <f t="shared" ca="1" si="35"/>
        <v>317050</v>
      </c>
      <c r="N56" s="496">
        <f t="shared" ca="1" si="35"/>
        <v>51396.57</v>
      </c>
      <c r="O56" s="496">
        <f t="shared" ca="1" si="32"/>
        <v>8.1054360510960421</v>
      </c>
      <c r="P56" s="496">
        <f t="shared" ca="1" si="33"/>
        <v>16.210872102192084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IFERROR(__xludf.DUMMYFUNCTION("IMPORTRANGE(""https://docs.google.com/spreadsheets/d/1MeEWN-I1oV_STSDYn1IFDPWt_1FKiwhDph83XaGc0o0/edit?usp=sharing"",""งบพรบ!AB35"")"),317050)</f>
        <v>317050</v>
      </c>
      <c r="N58" s="93">
        <f ca="1">IFERROR(__xludf.DUMMYFUNCTION("IMPORTRANGE(""https://docs.google.com/spreadsheets/d/1MeEWN-I1oV_STSDYn1IFDPWt_1FKiwhDph83XaGc0o0/edit?usp=sharing"",""งบพรบ!AD35"")"),51396.57)</f>
        <v>51396.57</v>
      </c>
      <c r="O58" s="93">
        <f t="shared" ca="1" si="32"/>
        <v>8.1054360510960421</v>
      </c>
      <c r="P58" s="93">
        <f t="shared" ca="1" si="33"/>
        <v>16.210872102192084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39800</v>
      </c>
      <c r="M59" s="496">
        <f t="shared" ca="1" si="36"/>
        <v>39800</v>
      </c>
      <c r="N59" s="496">
        <f t="shared" ca="1" si="36"/>
        <v>30000</v>
      </c>
      <c r="O59" s="496">
        <f t="shared" ca="1" si="32"/>
        <v>75.37688442211055</v>
      </c>
      <c r="P59" s="496">
        <f t="shared" ca="1" si="33"/>
        <v>75.37688442211055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IFERROR(__xludf.DUMMYFUNCTION("IMPORTRANGE(""https://docs.google.com/spreadsheets/d/1MeEWN-I1oV_STSDYn1IFDPWt_1FKiwhDph83XaGc0o0/edit?usp=sharing"",""งบพรบ!AC35"")"),39800)</f>
        <v>39800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75.37688442211055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50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885100</v>
      </c>
      <c r="M66" s="155">
        <f t="shared" ca="1" si="39"/>
        <v>435550</v>
      </c>
      <c r="N66" s="155">
        <f t="shared" ca="1" si="39"/>
        <v>67299.89</v>
      </c>
      <c r="O66" s="155">
        <f t="shared" ref="O66:O74" ca="1" si="40">IF(L66&gt;0,N66*100/L66,0)</f>
        <v>7.6036481753474181</v>
      </c>
      <c r="P66" s="155">
        <f t="shared" ref="P66:P74" ca="1" si="41">IF(M66&gt;0,N66*100/M66,0)</f>
        <v>15.45170244518425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885100</v>
      </c>
      <c r="M68" s="93">
        <f t="shared" ca="1" si="42"/>
        <v>435550</v>
      </c>
      <c r="N68" s="93">
        <f t="shared" ca="1" si="42"/>
        <v>67299.89</v>
      </c>
      <c r="O68" s="93">
        <f t="shared" ca="1" si="40"/>
        <v>7.6036481753474181</v>
      </c>
      <c r="P68" s="93">
        <f t="shared" ca="1" si="41"/>
        <v>15.45170244518425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885100</v>
      </c>
      <c r="M69" s="496">
        <f t="shared" ca="1" si="43"/>
        <v>435550</v>
      </c>
      <c r="N69" s="496">
        <f t="shared" ca="1" si="43"/>
        <v>67299.89</v>
      </c>
      <c r="O69" s="496">
        <f t="shared" ca="1" si="40"/>
        <v>7.6036481753474181</v>
      </c>
      <c r="P69" s="496">
        <f t="shared" ca="1" si="41"/>
        <v>15.45170244518425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IFERROR(__xludf.DUMMYFUNCTION("IMPORTRANGE(""https://docs.google.com/spreadsheets/d/1MeEWN-I1oV_STSDYn1IFDPWt_1FKiwhDph83XaGc0o0/edit?usp=sharing"",""งบพรบ!AL35"")"),435550)</f>
        <v>435550</v>
      </c>
      <c r="N71" s="93">
        <f ca="1">IFERROR(__xludf.DUMMYFUNCTION("IMPORTRANGE(""https://docs.google.com/spreadsheets/d/1MeEWN-I1oV_STSDYn1IFDPWt_1FKiwhDph83XaGc0o0/edit?usp=sharing"",""งบพรบ!AN35"")"),67299.89)</f>
        <v>67299.89</v>
      </c>
      <c r="O71" s="93">
        <f t="shared" ca="1" si="40"/>
        <v>7.6036481753474181</v>
      </c>
      <c r="P71" s="93">
        <f t="shared" ca="1" si="41"/>
        <v>15.45170244518425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50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85840</v>
      </c>
      <c r="M88" s="155">
        <f t="shared" ca="1" si="49"/>
        <v>21840</v>
      </c>
      <c r="N88" s="155">
        <f t="shared" ca="1" si="49"/>
        <v>7260</v>
      </c>
      <c r="O88" s="155">
        <f t="shared" ref="O88:O96" ca="1" si="50">IF(L88&gt;0,N88*100/L88,0)</f>
        <v>8.4575955265610432</v>
      </c>
      <c r="P88" s="155">
        <f t="shared" ref="P88:P96" ca="1" si="51">IF(M88&gt;0,N88*100/M88,0)</f>
        <v>33.241758241758241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85840</v>
      </c>
      <c r="M90" s="93">
        <f t="shared" ca="1" si="52"/>
        <v>21840</v>
      </c>
      <c r="N90" s="93">
        <f t="shared" ca="1" si="52"/>
        <v>7260</v>
      </c>
      <c r="O90" s="93">
        <f t="shared" ca="1" si="50"/>
        <v>8.4575955265610432</v>
      </c>
      <c r="P90" s="93">
        <f t="shared" ca="1" si="51"/>
        <v>33.241758241758241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85840</v>
      </c>
      <c r="M91" s="496">
        <f t="shared" ca="1" si="53"/>
        <v>21840</v>
      </c>
      <c r="N91" s="496">
        <f t="shared" ca="1" si="53"/>
        <v>7260</v>
      </c>
      <c r="O91" s="496">
        <f t="shared" ca="1" si="50"/>
        <v>8.4575955265610432</v>
      </c>
      <c r="P91" s="496">
        <f t="shared" ca="1" si="51"/>
        <v>33.241758241758241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IFERROR(__xludf.DUMMYFUNCTION("IMPORTRANGE(""https://docs.google.com/spreadsheets/d/1MeEWN-I1oV_STSDYn1IFDPWt_1FKiwhDph83XaGc0o0/edit?usp=sharing"",""งบพรบ!AV35"")"),21840)</f>
        <v>21840</v>
      </c>
      <c r="N93" s="93">
        <f ca="1">IFERROR(__xludf.DUMMYFUNCTION("IMPORTRANGE(""https://docs.google.com/spreadsheets/d/1MeEWN-I1oV_STSDYn1IFDPWt_1FKiwhDph83XaGc0o0/edit?usp=sharing"",""งบพรบ!AX35"")"),7260)</f>
        <v>7260</v>
      </c>
      <c r="O93" s="93">
        <f t="shared" ca="1" si="50"/>
        <v>8.4575955265610432</v>
      </c>
      <c r="P93" s="93">
        <f t="shared" ca="1" si="51"/>
        <v>33.241758241758241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IFERROR(__xludf.DUMMYFUNCTION("IMPORTRANGE(""https://docs.google.com/spreadsheets/d/1QqKyyYR6Q21VydFLVH3TRQUabQu_ym0Zz7PgGX0-kHA/edit?usp=sharing"",""แผน!K35"")"),30)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IFERROR(__xludf.DUMMYFUNCTION("IMPORTRANGE(""https://docs.google.com/spreadsheets/d/1QqKyyYR6Q21VydFLVH3TRQUabQu_ym0Zz7PgGX0-kHA/edit?usp=sharing"",""แผน!L35"")"),10)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IFERROR(__xludf.DUMMYFUNCTION("IMPORTRANGE(""https://docs.google.com/spreadsheets/d/1QqKyyYR6Q21VydFLVH3TRQUabQu_ym0Zz7PgGX0-kHA/edit?usp=sharing"",""แผน!M35"")"),2)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IFERROR(__xludf.DUMMYFUNCTION("IMPORTRANGE(""https://docs.google.com/spreadsheets/d/1QqKyyYR6Q21VydFLVH3TRQUabQu_ym0Zz7PgGX0-kHA/edit?usp=sharing"",""แผน!N35"")"),30)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IFERROR(__xludf.DUMMYFUNCTION("IMPORTRANGE(""https://docs.google.com/spreadsheets/d/1QqKyyYR6Q21VydFLVH3TRQUabQu_ym0Zz7PgGX0-kHA/edit?usp=sharing"",""แผน!O35"")"),10)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IFERROR(__xludf.DUMMYFUNCTION("IMPORTRANGE(""https://docs.google.com/spreadsheets/d/1QqKyyYR6Q21VydFLVH3TRQUabQu_ym0Zz7PgGX0-kHA/edit?usp=sharing"",""แผน!O35"")"),10)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IFERROR(__xludf.DUMMYFUNCTION("IMPORTRANGE(""https://docs.google.com/spreadsheets/d/1QqKyyYR6Q21VydFLVH3TRQUabQu_ym0Zz7PgGX0-kHA/edit?usp=sharing"",""แผน!P35"")"),1)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IFERROR(__xludf.DUMMYFUNCTION("IMPORTRANGE(""https://docs.google.com/spreadsheets/d/1QqKyyYR6Q21VydFLVH3TRQUabQu_ym0Zz7PgGX0-kHA/edit?usp=sharing"",""แผน!P35"")"),1)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IFERROR(__xludf.DUMMYFUNCTION("IMPORTRANGE(""https://docs.google.com/spreadsheets/d/1QqKyyYR6Q21VydFLVH3TRQUabQu_ym0Zz7PgGX0-kHA/edit?usp=sharing"",""แผน!Q35"")"),1)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IFERROR(__xludf.DUMMYFUNCTION("IMPORTRANGE(""https://docs.google.com/spreadsheets/d/1QqKyyYR6Q21VydFLVH3TRQUabQu_ym0Zz7PgGX0-kHA/edit?usp=sharing"",""แผน!Q35"")"),1)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IFERROR(__xludf.DUMMYFUNCTION("IMPORTRANGE(""https://docs.google.com/spreadsheets/d/1QqKyyYR6Q21VydFLVH3TRQUabQu_ym0Zz7PgGX0-kHA/edit?usp=sharing"",""แผน!U35"")"),0)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IFERROR(__xludf.DUMMYFUNCTION("IMPORTRANGE(""https://docs.google.com/spreadsheets/d/1QqKyyYR6Q21VydFLVH3TRQUabQu_ym0Zz7PgGX0-kHA/edit?usp=sharing"",""แผน!V35"")"),0)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IFERROR(__xludf.DUMMYFUNCTION("IMPORTRANGE(""https://docs.google.com/spreadsheets/d/1QqKyyYR6Q21VydFLVH3TRQUabQu_ym0Zz7PgGX0-kHA/edit?usp=sharing"",""แผน!W35"")"),0)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IFERROR(__xludf.DUMMYFUNCTION("IMPORTRANGE(""https://docs.google.com/spreadsheets/d/1QqKyyYR6Q21VydFLVH3TRQUabQu_ym0Zz7PgGX0-kHA/edit?usp=sharing"",""แผน!X35"")"),0)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11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22055</v>
      </c>
      <c r="M165" s="154">
        <f t="shared" ca="1" si="84"/>
        <v>22055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22055</v>
      </c>
      <c r="M168" s="496">
        <f t="shared" ca="1" si="88"/>
        <v>22055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IFERROR(__xludf.DUMMYFUNCTION("IMPORTRANGE(""https://docs.google.com/spreadsheets/d/1MeEWN-I1oV_STSDYn1IFDPWt_1FKiwhDph83XaGc0o0/edit?usp=sharing"",""งบพรบ!CJ35"")"),22055)</f>
        <v>22055</v>
      </c>
      <c r="N170" s="93">
        <f ca="1">IFERROR(__xludf.DUMMYFUNCTION("IMPORTRANGE(""https://docs.google.com/spreadsheets/d/1MeEWN-I1oV_STSDYn1IFDPWt_1FKiwhDph83XaGc0o0/edit?usp=sharing"",""งบพรบ!CL35"")"),0)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11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IFERROR(__xludf.DUMMYFUNCTION("IMPORTRANGE(""https://docs.google.com/spreadsheets/d/1QqKyyYR6Q21VydFLVH3TRQUabQu_ym0Zz7PgGX0-kHA/edit?usp=sharing"",""แผน!Y35"")"),11)</f>
        <v>11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1">L182+L183</f>
        <v>65500</v>
      </c>
      <c r="M181" s="154">
        <f t="shared" ca="1" si="91"/>
        <v>39000</v>
      </c>
      <c r="N181" s="154">
        <f t="shared" ca="1" si="91"/>
        <v>0</v>
      </c>
      <c r="O181" s="154">
        <f t="shared" ref="O181:O189" ca="1" si="92">IF(L181&gt;0,N181*100/L181,0)</f>
        <v>0</v>
      </c>
      <c r="P181" s="154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65500</v>
      </c>
      <c r="M183" s="93">
        <f t="shared" ca="1" si="94"/>
        <v>39000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65500</v>
      </c>
      <c r="M184" s="496">
        <f t="shared" ca="1" si="95"/>
        <v>39000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IFERROR(__xludf.DUMMYFUNCTION("IMPORTRANGE(""https://docs.google.com/spreadsheets/d/1MeEWN-I1oV_STSDYn1IFDPWt_1FKiwhDph83XaGc0o0/edit?usp=sharing"",""งบพรบ!CT35"")"),39000)</f>
        <v>39000</v>
      </c>
      <c r="N186" s="93">
        <f ca="1">IFERROR(__xludf.DUMMYFUNCTION("IMPORTRANGE(""https://docs.google.com/spreadsheets/d/1MeEWN-I1oV_STSDYn1IFDPWt_1FKiwhDph83XaGc0o0/edit?usp=sharing"",""งบพรบ!CV35"")"),0)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IFERROR(__xludf.DUMMYFUNCTION("IMPORTRANGE(""https://docs.google.com/spreadsheets/d/1QqKyyYR6Q21VydFLVH3TRQUabQu_ym0Zz7PgGX0-kHA/edit?usp=sharing"",""แผน!AC35"")"),4)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IFERROR(__xludf.DUMMYFUNCTION("IMPORTRANGE(""https://docs.google.com/spreadsheets/d/1QqKyyYR6Q21VydFLVH3TRQUabQu_ym0Zz7PgGX0-kHA/edit?usp=sharing"",""แผน!AE35"")"),3000)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IFERROR(__xludf.DUMMYFUNCTION("IMPORTRANGE(""https://docs.google.com/spreadsheets/d/1QqKyyYR6Q21VydFLVH3TRQUabQu_ym0Zz7PgGX0-kHA/edit?usp=sharing"",""แผน!AF35"")"),24000)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IFERROR(__xludf.DUMMYFUNCTION("IMPORTRANGE(""https://docs.google.com/spreadsheets/d/1QqKyyYR6Q21VydFLVH3TRQUabQu_ym0Zz7PgGX0-kHA/edit?usp=sharing"",""แผน!AG35"")"),12000)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IFERROR(__xludf.DUMMYFUNCTION("IMPORTRANGE(""https://docs.google.com/spreadsheets/d/1QqKyyYR6Q21VydFLVH3TRQUabQu_ym0Zz7PgGX0-kHA/edit?usp=sharing"",""แผน!AH35"")"),0)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IFERROR(__xludf.DUMMYFUNCTION("IMPORTRANGE(""https://docs.google.com/spreadsheets/d/1QqKyyYR6Q21VydFLVH3TRQUabQu_ym0Zz7PgGX0-kHA/edit?usp=sharing"",""แผน!AI35"")"),3)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1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IFERROR(__xludf.DUMMYFUNCTION("IMPORTRANGE(""https://docs.google.com/spreadsheets/d/1QqKyyYR6Q21VydFLVH3TRQUabQu_ym0Zz7PgGX0-kHA/edit?usp=sharing"",""แผน!AK35"")"),1000)</f>
        <v>1000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IFERROR(__xludf.DUMMYFUNCTION("IMPORTRANGE(""https://docs.google.com/spreadsheets/d/1QqKyyYR6Q21VydFLVH3TRQUabQu_ym0Zz7PgGX0-kHA/edit?usp=sharing"",""แผน!AL35"")"),5000)</f>
        <v>5000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IFERROR(__xludf.DUMMYFUNCTION("IMPORTRANGE(""https://docs.google.com/spreadsheets/d/1QqKyyYR6Q21VydFLVH3TRQUabQu_ym0Zz7PgGX0-kHA/edit?usp=sharing"",""แผน!AM35"")"),8000)</f>
        <v>8000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IFERROR(__xludf.DUMMYFUNCTION("IMPORTRANGE(""https://docs.google.com/spreadsheets/d/1QqKyyYR6Q21VydFLVH3TRQUabQu_ym0Zz7PgGX0-kHA/edit?usp=sharing"",""แผน!AN35"")"),1)</f>
        <v>1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IFERROR(__xludf.DUMMYFUNCTION("IMPORTRANGE(""https://docs.google.com/spreadsheets/d/1QqKyyYR6Q21VydFLVH3TRQUabQu_ym0Zz7PgGX0-kHA/edit?usp=sharing"",""แผน!AN35"")"),1)</f>
        <v>1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IFERROR(__xludf.DUMMYFUNCTION("IMPORTRANGE(""https://docs.google.com/spreadsheets/d/1QqKyyYR6Q21VydFLVH3TRQUabQu_ym0Zz7PgGX0-kHA/edit?usp=sharing"",""แผน!AP35"")"),3000)</f>
        <v>3000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IFERROR(__xludf.DUMMYFUNCTION("IMPORTRANGE(""https://docs.google.com/spreadsheets/d/1QqKyyYR6Q21VydFLVH3TRQUabQu_ym0Zz7PgGX0-kHA/edit?usp=sharing"",""แผน!AQ35"")"),3500)</f>
        <v>3500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IFERROR(__xludf.DUMMYFUNCTION("IMPORTRANGE(""https://docs.google.com/spreadsheets/d/1QqKyyYR6Q21VydFLVH3TRQUabQu_ym0Zz7PgGX0-kHA/edit?usp=sharing"",""แผน!AR35"")"),0)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IFERROR(__xludf.DUMMYFUNCTION("IMPORTRANGE(""https://docs.google.com/spreadsheets/d/1QqKyyYR6Q21VydFLVH3TRQUabQu_ym0Zz7PgGX0-kHA/edit?usp=sharing"",""แผน!AT35"")"),10000)</f>
        <v>10000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IFERROR(__xludf.DUMMYFUNCTION("IMPORTRANGE(""https://docs.google.com/spreadsheets/d/1QqKyyYR6Q21VydFLVH3TRQUabQu_ym0Zz7PgGX0-kHA/edit?usp=sharing"",""แผน!AT35"")"),10000)</f>
        <v>10000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IFERROR(__xludf.DUMMYFUNCTION("IMPORTRANGE(""https://docs.google.com/spreadsheets/d/1QqKyyYR6Q21VydFLVH3TRQUabQu_ym0Zz7PgGX0-kHA/edit?usp=sharing"",""แผน!AS35"")"),0)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IFERROR(__xludf.DUMMYFUNCTION("IMPORTRANGE(""https://docs.google.com/spreadsheets/d/1QqKyyYR6Q21VydFLVH3TRQUabQu_ym0Zz7PgGX0-kHA/edit?usp=sharing"",""แผน!AV35"")"),0)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IFERROR(__xludf.DUMMYFUNCTION("IMPORTRANGE(""https://docs.google.com/spreadsheets/d/1QqKyyYR6Q21VydFLVH3TRQUabQu_ym0Zz7PgGX0-kHA/edit?usp=sharing"",""แผน!AW35"")"),0)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IFERROR(__xludf.DUMMYFUNCTION("IMPORTRANGE(""https://docs.google.com/spreadsheets/d/1QqKyyYR6Q21VydFLVH3TRQUabQu_ym0Zz7PgGX0-kHA/edit?usp=sharing"",""แผน!AX35"")"),0)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IFERROR(__xludf.DUMMYFUNCTION("IMPORTRANGE(""https://docs.google.com/spreadsheets/d/1QqKyyYR6Q21VydFLVH3TRQUabQu_ym0Zz7PgGX0-kHA/edit?usp=sharing"",""แผน!AY35"")"),0)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IFERROR(__xludf.DUMMYFUNCTION("IMPORTRANGE(""https://docs.google.com/spreadsheets/d/1QqKyyYR6Q21VydFLVH3TRQUabQu_ym0Zz7PgGX0-kHA/edit?usp=sharing"",""แผน!BE35"")"),0)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IFERROR(__xludf.DUMMYFUNCTION("IMPORTRANGE(""https://docs.google.com/spreadsheets/d/1QqKyyYR6Q21VydFLVH3TRQUabQu_ym0Zz7PgGX0-kHA/edit?usp=sharing"",""แผน!AZ35"")"),0)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IFERROR(__xludf.DUMMYFUNCTION("IMPORTRANGE(""https://docs.google.com/spreadsheets/d/1QqKyyYR6Q21VydFLVH3TRQUabQu_ym0Zz7PgGX0-kHA/edit?usp=sharing"",""แผน!BA35"")"),0)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IFERROR(__xludf.DUMMYFUNCTION("IMPORTRANGE(""https://docs.google.com/spreadsheets/d/1QqKyyYR6Q21VydFLVH3TRQUabQu_ym0Zz7PgGX0-kHA/edit?usp=sharing"",""แผน!BB35"")"),0)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IFERROR(__xludf.DUMMYFUNCTION("IMPORTRANGE(""https://docs.google.com/spreadsheets/d/1QqKyyYR6Q21VydFLVH3TRQUabQu_ym0Zz7PgGX0-kHA/edit?usp=sharing"",""แผน!BC35"")"),0)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IFERROR(__xludf.DUMMYFUNCTION("IMPORTRANGE(""https://docs.google.com/spreadsheets/d/1QqKyyYR6Q21VydFLVH3TRQUabQu_ym0Zz7PgGX0-kHA/edit?usp=sharing"",""แผน!BF35"")"),0)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169900</v>
      </c>
      <c r="M261" s="155">
        <f t="shared" ca="1" si="115"/>
        <v>88900</v>
      </c>
      <c r="N261" s="155">
        <f t="shared" ca="1" si="115"/>
        <v>24194.5</v>
      </c>
      <c r="O261" s="155">
        <f t="shared" ref="O261:O269" ca="1" si="116">IF(L261&gt;0,N261*100/L261,0)</f>
        <v>14.240435550323721</v>
      </c>
      <c r="P261" s="155">
        <f t="shared" ref="P261:P269" ca="1" si="117">IF(M261&gt;0,N261*100/M261,0)</f>
        <v>27.215410573678291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169900</v>
      </c>
      <c r="M263" s="93">
        <f t="shared" ca="1" si="118"/>
        <v>88900</v>
      </c>
      <c r="N263" s="93">
        <f t="shared" ca="1" si="118"/>
        <v>24194.5</v>
      </c>
      <c r="O263" s="93">
        <f t="shared" ca="1" si="116"/>
        <v>14.240435550323721</v>
      </c>
      <c r="P263" s="93">
        <f t="shared" ca="1" si="117"/>
        <v>27.215410573678291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169900</v>
      </c>
      <c r="M264" s="496">
        <f t="shared" ca="1" si="119"/>
        <v>88900</v>
      </c>
      <c r="N264" s="496">
        <f t="shared" ca="1" si="119"/>
        <v>24194.5</v>
      </c>
      <c r="O264" s="496">
        <f t="shared" ca="1" si="116"/>
        <v>14.240435550323721</v>
      </c>
      <c r="P264" s="496">
        <f t="shared" ca="1" si="117"/>
        <v>27.215410573678291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IFERROR(__xludf.DUMMYFUNCTION("IMPORTRANGE(""https://docs.google.com/spreadsheets/d/1MeEWN-I1oV_STSDYn1IFDPWt_1FKiwhDph83XaGc0o0/edit?usp=sharing"",""งบพรบ!DD35"")"),88900)</f>
        <v>88900</v>
      </c>
      <c r="N266" s="93">
        <f ca="1">IFERROR(__xludf.DUMMYFUNCTION("IMPORTRANGE(""https://docs.google.com/spreadsheets/d/1MeEWN-I1oV_STSDYn1IFDPWt_1FKiwhDph83XaGc0o0/edit?usp=sharing"",""งบพรบ!DF35"")"),24194.5)</f>
        <v>24194.5</v>
      </c>
      <c r="O266" s="93">
        <f t="shared" ca="1" si="116"/>
        <v>14.240435550323721</v>
      </c>
      <c r="P266" s="93">
        <f t="shared" ca="1" si="117"/>
        <v>27.215410573678291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IFERROR(__xludf.DUMMYFUNCTION("IMPORTRANGE(""https://docs.google.com/spreadsheets/d/1QqKyyYR6Q21VydFLVH3TRQUabQu_ym0Zz7PgGX0-kHA/edit?usp=sharing"",""แผน!EA35"")"),22)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10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100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41010</v>
      </c>
      <c r="M277" s="155">
        <f t="shared" ca="1" si="124"/>
        <v>16820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41010</v>
      </c>
      <c r="M279" s="93">
        <f t="shared" ca="1" si="127"/>
        <v>16820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41010</v>
      </c>
      <c r="M280" s="496">
        <f t="shared" ca="1" si="128"/>
        <v>16820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IFERROR(__xludf.DUMMYFUNCTION("IMPORTRANGE(""https://docs.google.com/spreadsheets/d/1MeEWN-I1oV_STSDYn1IFDPWt_1FKiwhDph83XaGc0o0/edit?usp=sharing"",""งบพรบ!DN35"")"),16820)</f>
        <v>16820</v>
      </c>
      <c r="N282" s="93">
        <f ca="1">IFERROR(__xludf.DUMMYFUNCTION("IMPORTRANGE(""https://docs.google.com/spreadsheets/d/1MeEWN-I1oV_STSDYn1IFDPWt_1FKiwhDph83XaGc0o0/edit?usp=sharing"",""งบพรบ!DP35"")"),0)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IFERROR(__xludf.DUMMYFUNCTION("IMPORTRANGE(""https://docs.google.com/spreadsheets/d/1QqKyyYR6Q21VydFLVH3TRQUabQu_ym0Zz7PgGX0-kHA/edit?usp=sharing"",""แผน!EC35"")"),100)</f>
        <v>100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IFERROR(__xludf.DUMMYFUNCTION("IMPORTRANGE(""https://docs.google.com/spreadsheets/d/1QqKyyYR6Q21VydFLVH3TRQUabQu_ym0Zz7PgGX0-kHA/edit?usp=sharing"",""แผน!EB35"")"),10)</f>
        <v>10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IFERROR(__xludf.DUMMYFUNCTION("IMPORTRANGE(""https://docs.google.com/spreadsheets/d/1QqKyyYR6Q21VydFLVH3TRQUabQu_ym0Zz7PgGX0-kHA/edit?usp=sharing"",""แผน!EB35"")"),10)</f>
        <v>10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15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63800</v>
      </c>
      <c r="M298" s="155">
        <f t="shared" ca="1" si="134"/>
        <v>37840</v>
      </c>
      <c r="N298" s="155">
        <f t="shared" ca="1" si="134"/>
        <v>1360</v>
      </c>
      <c r="O298" s="155">
        <f t="shared" ref="O298:O306" ca="1" si="135">IF(L298&gt;0,N298*100/L298,0)</f>
        <v>2.1316614420062696</v>
      </c>
      <c r="P298" s="155">
        <f t="shared" ref="P298:P306" ca="1" si="136">IF(M298&gt;0,N298*100/M298,0)</f>
        <v>3.5940803382663846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63800</v>
      </c>
      <c r="M300" s="93">
        <f t="shared" ca="1" si="137"/>
        <v>37840</v>
      </c>
      <c r="N300" s="93">
        <f t="shared" ca="1" si="137"/>
        <v>1360</v>
      </c>
      <c r="O300" s="93">
        <f t="shared" ca="1" si="135"/>
        <v>2.1316614420062696</v>
      </c>
      <c r="P300" s="93">
        <f t="shared" ca="1" si="136"/>
        <v>3.5940803382663846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63800</v>
      </c>
      <c r="M301" s="496">
        <f t="shared" ca="1" si="138"/>
        <v>37840</v>
      </c>
      <c r="N301" s="496">
        <f t="shared" ca="1" si="138"/>
        <v>1360</v>
      </c>
      <c r="O301" s="496">
        <f t="shared" ca="1" si="135"/>
        <v>2.1316614420062696</v>
      </c>
      <c r="P301" s="496">
        <f t="shared" ca="1" si="136"/>
        <v>3.5940803382663846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IFERROR(__xludf.DUMMYFUNCTION("IMPORTRANGE(""https://docs.google.com/spreadsheets/d/1MeEWN-I1oV_STSDYn1IFDPWt_1FKiwhDph83XaGc0o0/edit?usp=sharing"",""งบพรบ!DX35"")"),37840)</f>
        <v>37840</v>
      </c>
      <c r="N303" s="93">
        <f ca="1">IFERROR(__xludf.DUMMYFUNCTION("IMPORTRANGE(""https://docs.google.com/spreadsheets/d/1MeEWN-I1oV_STSDYn1IFDPWt_1FKiwhDph83XaGc0o0/edit?usp=sharing"",""งบพรบ!DZ35"")"),1360)</f>
        <v>1360</v>
      </c>
      <c r="O303" s="93">
        <f t="shared" ca="1" si="135"/>
        <v>2.1316614420062696</v>
      </c>
      <c r="P303" s="93">
        <f t="shared" ca="1" si="136"/>
        <v>3.5940803382663846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IFERROR(__xludf.DUMMYFUNCTION("IMPORTRANGE(""https://docs.google.com/spreadsheets/d/1QqKyyYR6Q21VydFLVH3TRQUabQu_ym0Zz7PgGX0-kHA/edit?usp=sharing"",""แผน!ED35"")"),15)</f>
        <v>15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IFERROR(__xludf.DUMMYFUNCTION("IMPORTRANGE(""https://docs.google.com/spreadsheets/d/1QqKyyYR6Q21VydFLVH3TRQUabQu_ym0Zz7PgGX0-kHA/edit?usp=sharing"",""แผน!ED35"")"),15)</f>
        <v>15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IFERROR(__xludf.DUMMYFUNCTION("IMPORTRANGE(""https://docs.google.com/spreadsheets/d/1QqKyyYR6Q21VydFLVH3TRQUabQu_ym0Zz7PgGX0-kHA/edit?usp=sharing"",""แผน!ED35"")"),15)</f>
        <v>15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IFERROR(__xludf.DUMMYFUNCTION("IMPORTRANGE(""https://docs.google.com/spreadsheets/d/1QqKyyYR6Q21VydFLVH3TRQUabQu_ym0Zz7PgGX0-kHA/edit?usp=sharing"",""แผน!EE35"")"),3)</f>
        <v>3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IFERROR(__xludf.DUMMYFUNCTION("IMPORTRANGE(""https://docs.google.com/spreadsheets/d/1QqKyyYR6Q21VydFLVH3TRQUabQu_ym0Zz7PgGX0-kHA/edit?usp=sharing"",""แผน!EF35"")"),0)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IFERROR(__xludf.DUMMYFUNCTION("IMPORTRANGE(""https://docs.google.com/spreadsheets/d/1QqKyyYR6Q21VydFLVH3TRQUabQu_ym0Zz7PgGX0-kHA/edit?usp=sharing"",""แผน!EG35"")"),1300)</f>
        <v>1300</v>
      </c>
      <c r="J327" s="443">
        <f ca="1">J338+J341+J342+J343</f>
        <v>186</v>
      </c>
      <c r="K327" s="444">
        <f ca="1">IF(I327&gt;0,J327*100/I327,0)</f>
        <v>14.307692307692308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170000</v>
      </c>
      <c r="M328" s="155">
        <f t="shared" ca="1" si="148"/>
        <v>85000</v>
      </c>
      <c r="N328" s="155">
        <f t="shared" ca="1" si="148"/>
        <v>22120</v>
      </c>
      <c r="O328" s="155">
        <f t="shared" ref="O328:O336" ca="1" si="149">IF(L328&gt;0,N328*100/L328,0)</f>
        <v>13.011764705882353</v>
      </c>
      <c r="P328" s="155">
        <f t="shared" ref="P328:P336" ca="1" si="150">IF(M328&gt;0,N328*100/M328,0)</f>
        <v>26.023529411764706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170000</v>
      </c>
      <c r="M330" s="93">
        <f t="shared" ca="1" si="151"/>
        <v>85000</v>
      </c>
      <c r="N330" s="93">
        <f t="shared" ca="1" si="151"/>
        <v>22120</v>
      </c>
      <c r="O330" s="93">
        <f t="shared" ca="1" si="149"/>
        <v>13.011764705882353</v>
      </c>
      <c r="P330" s="93">
        <f t="shared" ca="1" si="150"/>
        <v>26.023529411764706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170000</v>
      </c>
      <c r="M331" s="496">
        <f t="shared" ca="1" si="152"/>
        <v>85000</v>
      </c>
      <c r="N331" s="496">
        <f t="shared" ca="1" si="152"/>
        <v>22120</v>
      </c>
      <c r="O331" s="496">
        <f t="shared" ca="1" si="149"/>
        <v>13.011764705882353</v>
      </c>
      <c r="P331" s="496">
        <f t="shared" ca="1" si="150"/>
        <v>26.023529411764706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IFERROR(__xludf.DUMMYFUNCTION("IMPORTRANGE(""https://docs.google.com/spreadsheets/d/1MeEWN-I1oV_STSDYn1IFDPWt_1FKiwhDph83XaGc0o0/edit?usp=sharing"",""งบพรบ!ER35"")"),85000)</f>
        <v>85000</v>
      </c>
      <c r="N333" s="93">
        <f ca="1">IFERROR(__xludf.DUMMYFUNCTION("IMPORTRANGE(""https://docs.google.com/spreadsheets/d/1MeEWN-I1oV_STSDYn1IFDPWt_1FKiwhDph83XaGc0o0/edit?usp=sharing"",""งบพรบ!ET35"")"),22120)</f>
        <v>22120</v>
      </c>
      <c r="O333" s="93">
        <f t="shared" ca="1" si="149"/>
        <v>13.011764705882353</v>
      </c>
      <c r="P333" s="93">
        <f t="shared" ca="1" si="150"/>
        <v>26.023529411764706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IFERROR(__xludf.DUMMYFUNCTION("IMPORTRANGE(""https://docs.google.com/spreadsheets/d/1QqKyyYR6Q21VydFLVH3TRQUabQu_ym0Zz7PgGX0-kHA/edit?usp=sharing"",""แผน!EG35"")"),1300)</f>
        <v>1300</v>
      </c>
      <c r="J338" s="269">
        <f ca="1">IFERROR(__xludf.DUMMYFUNCTION("IMPORTRANGE(""https://docs.google.com/spreadsheets/d/1kVcqe37tkHyjCSG3S0O1AXqVkqjo8mSIZil3BcpIysc/edit?usp=sharing"",""ศูนย์!D35"")"),186)</f>
        <v>186</v>
      </c>
      <c r="K338" s="496">
        <f ca="1">IF(I338&gt;0,J338*100/I338,0)</f>
        <v>14.307692307692308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IFERROR(__xludf.DUMMYFUNCTION("IMPORTRANGE(""https://docs.google.com/spreadsheets/d/1QqKyyYR6Q21VydFLVH3TRQUabQu_ym0Zz7PgGX0-kHA/edit?usp=sharing"",""แผน!EH35"")"),6)</f>
        <v>6</v>
      </c>
      <c r="J340" s="269">
        <f ca="1">IFERROR(__xludf.DUMMYFUNCTION("IMPORTRANGE(""https://docs.google.com/spreadsheets/d/1kVcqe37tkHyjCSG3S0O1AXqVkqjo8mSIZil3BcpIysc/edit?usp=sharing"",""ศูนย์!E35"")"),0)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IFERROR(__xludf.DUMMYFUNCTION("IMPORTRANGE(""https://docs.google.com/spreadsheets/d/1kVcqe37tkHyjCSG3S0O1AXqVkqjo8mSIZil3BcpIysc/edit?usp=sharing"",""ศูนย์!F35"")"),0)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IFERROR(__xludf.DUMMYFUNCTION("IMPORTRANGE(""https://docs.google.com/spreadsheets/d/1kVcqe37tkHyjCSG3S0O1AXqVkqjo8mSIZil3BcpIysc/edit?usp=sharing"",""ศูนย์!G35"")"),0)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IFERROR(__xludf.DUMMYFUNCTION("IMPORTRANGE(""https://docs.google.com/spreadsheets/d/1kVcqe37tkHyjCSG3S0O1AXqVkqjo8mSIZil3BcpIysc/edit?usp=sharing"",""ศูนย์!H35"")"),0)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752470</v>
      </c>
      <c r="M345" s="155">
        <f t="shared" ca="1" si="154"/>
        <v>444040</v>
      </c>
      <c r="N345" s="155">
        <f t="shared" ca="1" si="154"/>
        <v>229954.8</v>
      </c>
      <c r="O345" s="155">
        <f t="shared" ref="O345:O353" ca="1" si="155">IF(L345&gt;0,N345*100/L345,0)</f>
        <v>30.559995747338764</v>
      </c>
      <c r="P345" s="155">
        <f t="shared" ref="P345:P353" ca="1" si="156">IF(M345&gt;0,N345*100/M345,0)</f>
        <v>51.786956130078373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752470</v>
      </c>
      <c r="M347" s="93">
        <f t="shared" ca="1" si="157"/>
        <v>444040</v>
      </c>
      <c r="N347" s="93">
        <f t="shared" ca="1" si="157"/>
        <v>229954.8</v>
      </c>
      <c r="O347" s="93">
        <f t="shared" ca="1" si="155"/>
        <v>30.559995747338764</v>
      </c>
      <c r="P347" s="93">
        <f t="shared" ca="1" si="156"/>
        <v>51.786956130078373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616870</v>
      </c>
      <c r="M348" s="496">
        <f t="shared" ca="1" si="158"/>
        <v>308440</v>
      </c>
      <c r="N348" s="496">
        <f t="shared" ca="1" si="158"/>
        <v>98554.8</v>
      </c>
      <c r="O348" s="496">
        <f t="shared" ca="1" si="155"/>
        <v>15.976591502261417</v>
      </c>
      <c r="P348" s="496">
        <f t="shared" ca="1" si="156"/>
        <v>31.952665023991699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IFERROR(__xludf.DUMMYFUNCTION("IMPORTRANGE(""https://docs.google.com/spreadsheets/d/1MeEWN-I1oV_STSDYn1IFDPWt_1FKiwhDph83XaGc0o0/edit?usp=sharing"",""งบพรบ!FB35"")"),308440)</f>
        <v>308440</v>
      </c>
      <c r="N350" s="93">
        <f ca="1">IFERROR(__xludf.DUMMYFUNCTION("IMPORTRANGE(""https://docs.google.com/spreadsheets/d/1MeEWN-I1oV_STSDYn1IFDPWt_1FKiwhDph83XaGc0o0/edit?usp=sharing"",""งบพรบ!FD35"")"),98554.8)</f>
        <v>98554.8</v>
      </c>
      <c r="O350" s="93">
        <f t="shared" ca="1" si="155"/>
        <v>15.976591502261417</v>
      </c>
      <c r="P350" s="93">
        <f t="shared" ca="1" si="156"/>
        <v>31.952665023991699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135600</v>
      </c>
      <c r="M351" s="496">
        <f t="shared" ca="1" si="159"/>
        <v>135600</v>
      </c>
      <c r="N351" s="496">
        <f t="shared" ca="1" si="159"/>
        <v>131400</v>
      </c>
      <c r="O351" s="496">
        <f t="shared" ca="1" si="155"/>
        <v>96.902654867256643</v>
      </c>
      <c r="P351" s="496">
        <f t="shared" ca="1" si="156"/>
        <v>96.902654867256643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IFERROR(__xludf.DUMMYFUNCTION("IMPORTRANGE(""https://docs.google.com/spreadsheets/d/1MeEWN-I1oV_STSDYn1IFDPWt_1FKiwhDph83XaGc0o0/edit?usp=sharing"",""งบพรบ!FC35"")"),135600)</f>
        <v>135600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5"/>
        <v>96.902654867256643</v>
      </c>
      <c r="P353" s="93">
        <f t="shared" ca="1" si="156"/>
        <v>96.902654867256643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IFERROR(__xludf.DUMMYFUNCTION("IMPORTRANGE(""https://docs.google.com/spreadsheets/d/1QqKyyYR6Q21VydFLVH3TRQUabQu_ym0Zz7PgGX0-kHA/edit?usp=sharing"",""แผน!EP35"")"),230)</f>
        <v>230</v>
      </c>
      <c r="J355" s="463">
        <f ca="1">J362</f>
        <v>2</v>
      </c>
      <c r="K355" s="464">
        <f ca="1">IF(I355&gt;0,J355*100/I355,0)</f>
        <v>0.86956521739130432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IFERROR(__xludf.DUMMYFUNCTION("IMPORTRANGE(""https://docs.google.com/spreadsheets/d/1XWAQStnk-4SwqDmLtmXYiTMKHgktTP8We1SCoS47DrQ/edit?usp=sharing"",""จัดที่ดิน!W35"")"),3)</f>
        <v>3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IFERROR(__xludf.DUMMYFUNCTION("IMPORTRANGE(""https://docs.google.com/spreadsheets/d/1QqKyyYR6Q21VydFLVH3TRQUabQu_ym0Zz7PgGX0-kHA/edit?usp=sharing"",""แผน!EO35"")"),2300)</f>
        <v>2300</v>
      </c>
      <c r="J359" s="269">
        <f ca="1">IFERROR(__xludf.DUMMYFUNCTION("IMPORTRANGE(""https://docs.google.com/spreadsheets/d/1XWAQStnk-4SwqDmLtmXYiTMKHgktTP8We1SCoS47DrQ/edit?usp=sharing"",""จัดที่ดิน!X35"")"),65.05)</f>
        <v>65.05</v>
      </c>
      <c r="K359" s="496">
        <f t="shared" ca="1" si="160"/>
        <v>2.8282608695652174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IFERROR(__xludf.DUMMYFUNCTION("IMPORTRANGE(""https://docs.google.com/spreadsheets/d/1QqKyyYR6Q21VydFLVH3TRQUabQu_ym0Zz7PgGX0-kHA/edit?usp=sharing"",""แผน!EP35"")"),230)</f>
        <v>230</v>
      </c>
      <c r="J360" s="269">
        <f ca="1">IFERROR(__xludf.DUMMYFUNCTION("IMPORTRANGE(""https://docs.google.com/spreadsheets/d/1XWAQStnk-4SwqDmLtmXYiTMKHgktTP8We1SCoS47DrQ/edit?usp=sharing"",""จัดที่ดิน!Y35"")"),2)</f>
        <v>2</v>
      </c>
      <c r="K360" s="496">
        <f t="shared" ca="1" si="160"/>
        <v>0.86956521739130432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IFERROR(__xludf.DUMMYFUNCTION("IMPORTRANGE(""https://docs.google.com/spreadsheets/d/1XWAQStnk-4SwqDmLtmXYiTMKHgktTP8We1SCoS47DrQ/edit?usp=sharing"",""จัดที่ดิน!Z35"")"),27.1)</f>
        <v>27.1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IFERROR(__xludf.DUMMYFUNCTION("IMPORTRANGE(""https://docs.google.com/spreadsheets/d/1QqKyyYR6Q21VydFLVH3TRQUabQu_ym0Zz7PgGX0-kHA/edit?usp=sharing"",""แผน!EP35"")"),230)</f>
        <v>230</v>
      </c>
      <c r="J362" s="269">
        <f ca="1">IFERROR(__xludf.DUMMYFUNCTION("IMPORTRANGE(""https://docs.google.com/spreadsheets/d/1XWAQStnk-4SwqDmLtmXYiTMKHgktTP8We1SCoS47DrQ/edit?usp=sharing"",""จัดที่ดิน!AA35"")"),2)</f>
        <v>2</v>
      </c>
      <c r="K362" s="496">
        <f t="shared" ca="1" si="160"/>
        <v>0.86956521739130432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IFERROR(__xludf.DUMMYFUNCTION("IMPORTRANGE(""https://docs.google.com/spreadsheets/d/1XWAQStnk-4SwqDmLtmXYiTMKHgktTP8We1SCoS47DrQ/edit?usp=sharing"",""จัดที่ดิน!AB35"")"),27.1)</f>
        <v>27.1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430</v>
      </c>
      <c r="J364" s="477">
        <f t="shared" ca="1" si="161"/>
        <v>2</v>
      </c>
      <c r="K364" s="478">
        <f t="shared" ca="1" si="160"/>
        <v>0.46511627906976744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IFERROR(__xludf.DUMMYFUNCTION("IMPORTRANGE(""https://docs.google.com/spreadsheets/d/1QqKyyYR6Q21VydFLVH3TRQUabQu_ym0Zz7PgGX0-kHA/edit?usp=sharing"",""แผน!EJ35"")"),30)</f>
        <v>30</v>
      </c>
      <c r="J365" s="489">
        <f ca="1">J372</f>
        <v>2</v>
      </c>
      <c r="K365" s="490">
        <f t="shared" ca="1" si="160"/>
        <v>6.666666666666667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IFERROR(__xludf.DUMMYFUNCTION("IMPORTRANGE(""https://docs.google.com/spreadsheets/d/1XWAQStnk-4SwqDmLtmXYiTMKHgktTP8We1SCoS47DrQ/edit?usp=sharing"",""จัดที่ดิน!E35"")"),3)</f>
        <v>3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IFERROR(__xludf.DUMMYFUNCTION("IMPORTRANGE(""https://docs.google.com/spreadsheets/d/1QqKyyYR6Q21VydFLVH3TRQUabQu_ym0Zz7PgGX0-kHA/edit?usp=sharing"",""แผน!EI35"")"),300)</f>
        <v>300</v>
      </c>
      <c r="J369" s="269">
        <f ca="1">IFERROR(__xludf.DUMMYFUNCTION("IMPORTRANGE(""https://docs.google.com/spreadsheets/d/1XWAQStnk-4SwqDmLtmXYiTMKHgktTP8We1SCoS47DrQ/edit?usp=sharing"",""จัดที่ดิน!F35"")"),65.05)</f>
        <v>65.05</v>
      </c>
      <c r="K369" s="496">
        <f t="shared" ca="1" si="162"/>
        <v>21.683333333333334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IFERROR(__xludf.DUMMYFUNCTION("IMPORTRANGE(""https://docs.google.com/spreadsheets/d/1QqKyyYR6Q21VydFLVH3TRQUabQu_ym0Zz7PgGX0-kHA/edit?usp=sharing"",""แผน!EJ35"")"),30)</f>
        <v>30</v>
      </c>
      <c r="J370" s="269">
        <f ca="1">IFERROR(__xludf.DUMMYFUNCTION("IMPORTRANGE(""https://docs.google.com/spreadsheets/d/1XWAQStnk-4SwqDmLtmXYiTMKHgktTP8We1SCoS47DrQ/edit?usp=sharing"",""จัดที่ดิน!G35"")"),2)</f>
        <v>2</v>
      </c>
      <c r="K370" s="496">
        <f t="shared" ca="1" si="162"/>
        <v>6.666666666666667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IFERROR(__xludf.DUMMYFUNCTION("IMPORTRANGE(""https://docs.google.com/spreadsheets/d/1XWAQStnk-4SwqDmLtmXYiTMKHgktTP8We1SCoS47DrQ/edit?usp=sharing"",""จัดที่ดิน!H35"")"),27.1)</f>
        <v>27.1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IFERROR(__xludf.DUMMYFUNCTION("IMPORTRANGE(""https://docs.google.com/spreadsheets/d/1QqKyyYR6Q21VydFLVH3TRQUabQu_ym0Zz7PgGX0-kHA/edit?usp=sharing"",""แผน!EJ35"")"),30)</f>
        <v>30</v>
      </c>
      <c r="J372" s="269">
        <f ca="1">IFERROR(__xludf.DUMMYFUNCTION("IMPORTRANGE(""https://docs.google.com/spreadsheets/d/1XWAQStnk-4SwqDmLtmXYiTMKHgktTP8We1SCoS47DrQ/edit?usp=sharing"",""จัดที่ดิน!I35"")"),2)</f>
        <v>2</v>
      </c>
      <c r="K372" s="496">
        <f t="shared" ca="1" si="162"/>
        <v>6.666666666666667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IFERROR(__xludf.DUMMYFUNCTION("IMPORTRANGE(""https://docs.google.com/spreadsheets/d/1XWAQStnk-4SwqDmLtmXYiTMKHgktTP8We1SCoS47DrQ/edit?usp=sharing"",""จัดที่ดิน!J35"")"),27.1)</f>
        <v>27.1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IFERROR(__xludf.DUMMYFUNCTION("IMPORTRANGE(""https://docs.google.com/spreadsheets/d/1QqKyyYR6Q21VydFLVH3TRQUabQu_ym0Zz7PgGX0-kHA/edit?usp=sharing"",""แผน!EU35"")"),400)</f>
        <v>400</v>
      </c>
      <c r="J374" s="489">
        <f ca="1">J381</f>
        <v>0</v>
      </c>
      <c r="K374" s="490">
        <f t="shared" ca="1" si="162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IFERROR(__xludf.DUMMYFUNCTION("IMPORTRANGE(""https://docs.google.com/spreadsheets/d/1XWAQStnk-4SwqDmLtmXYiTMKHgktTP8We1SCoS47DrQ/edit?usp=sharing"",""จัดที่ดิน!AH35"")"),0)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IFERROR(__xludf.DUMMYFUNCTION("IMPORTRANGE(""https://docs.google.com/spreadsheets/d/1QqKyyYR6Q21VydFLVH3TRQUabQu_ym0Zz7PgGX0-kHA/edit?usp=sharing"",""แผน!ET35"")"),2000)</f>
        <v>2000</v>
      </c>
      <c r="J378" s="269">
        <f ca="1">IFERROR(__xludf.DUMMYFUNCTION("IMPORTRANGE(""https://docs.google.com/spreadsheets/d/1XWAQStnk-4SwqDmLtmXYiTMKHgktTP8We1SCoS47DrQ/edit?usp=sharing"",""จัดที่ดิน!AI35"")"),0)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IFERROR(__xludf.DUMMYFUNCTION("IMPORTRANGE(""https://docs.google.com/spreadsheets/d/1QqKyyYR6Q21VydFLVH3TRQUabQu_ym0Zz7PgGX0-kHA/edit?usp=sharing"",""แผน!EU35"")"),400)</f>
        <v>400</v>
      </c>
      <c r="J379" s="269">
        <f ca="1">IFERROR(__xludf.DUMMYFUNCTION("IMPORTRANGE(""https://docs.google.com/spreadsheets/d/1XWAQStnk-4SwqDmLtmXYiTMKHgktTP8We1SCoS47DrQ/edit?usp=sharing"",""จัดที่ดิน!AJ35"")"),0)</f>
        <v>0</v>
      </c>
      <c r="K379" s="496">
        <f t="shared" ca="1" si="163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IFERROR(__xludf.DUMMYFUNCTION("IMPORTRANGE(""https://docs.google.com/spreadsheets/d/1XWAQStnk-4SwqDmLtmXYiTMKHgktTP8We1SCoS47DrQ/edit?usp=sharing"",""จัดที่ดิน!AK35"")"),0)</f>
        <v>0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IFERROR(__xludf.DUMMYFUNCTION("IMPORTRANGE(""https://docs.google.com/spreadsheets/d/1QqKyyYR6Q21VydFLVH3TRQUabQu_ym0Zz7PgGX0-kHA/edit?usp=sharing"",""แผน!EU35"")"),400)</f>
        <v>400</v>
      </c>
      <c r="J381" s="269">
        <f ca="1">IFERROR(__xludf.DUMMYFUNCTION("IMPORTRANGE(""https://docs.google.com/spreadsheets/d/1XWAQStnk-4SwqDmLtmXYiTMKHgktTP8We1SCoS47DrQ/edit?usp=sharing"",""จัดที่ดิน!AL35"")"),0)</f>
        <v>0</v>
      </c>
      <c r="K381" s="496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IFERROR(__xludf.DUMMYFUNCTION("IMPORTRANGE(""https://docs.google.com/spreadsheets/d/1XWAQStnk-4SwqDmLtmXYiTMKHgktTP8We1SCoS47DrQ/edit?usp=sharing"",""จัดที่ดิน!AM35"")"),0)</f>
        <v>0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IFERROR(__xludf.DUMMYFUNCTION("IMPORTRANGE(""https://docs.google.com/spreadsheets/d/1QqKyyYR6Q21VydFLVH3TRQUabQu_ym0Zz7PgGX0-kHA/edit?usp=sharing"",""แผน!EW35"")"),30)</f>
        <v>30</v>
      </c>
      <c r="J385" s="499">
        <f ca="1">IFERROR(__xludf.DUMMYFUNCTION("IMPORTRANGE(""https://docs.google.com/spreadsheets/d/1XWAQStnk-4SwqDmLtmXYiTMKHgktTP8We1SCoS47DrQ/edit?usp=sharing"",""จัดที่ดิน!AP35"")"),0)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1949304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IFERROR(__xludf.DUMMYFUNCTION("IMPORTRANGE(""https://docs.google.com/spreadsheets/d/1QqKyyYR6Q21VydFLVH3TRQUabQu_ym0Zz7PgGX0-kHA/edit?usp=sharing"",""แผน!EY35"")"),78660)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IFERROR(__xludf.DUMMYFUNCTION("IMPORTRANGE(""https://docs.google.com/spreadsheets/d/1QqKyyYR6Q21VydFLVH3TRQUabQu_ym0Zz7PgGX0-kHA/edit?usp=sharing"",""แผน!FC35"")"),20)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IFERROR(__xludf.DUMMYFUNCTION("IMPORTRANGE(""https://docs.google.com/spreadsheets/d/1QqKyyYR6Q21VydFLVH3TRQUabQu_ym0Zz7PgGX0-kHA/edit?usp=sharing"",""แผน!FD35"")"),0)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IFERROR(__xludf.DUMMYFUNCTION("IMPORTRANGE(""https://docs.google.com/spreadsheets/d/1QqKyyYR6Q21VydFLVH3TRQUabQu_ym0Zz7PgGX0-kHA/edit?usp=sharing"",""แผน!FE35"")"),0)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IFERROR(__xludf.DUMMYFUNCTION("IMPORTRANGE(""https://docs.google.com/spreadsheets/d/1QqKyyYR6Q21VydFLVH3TRQUabQu_ym0Zz7PgGX0-kHA/edit?usp=sharing"",""แผน!FF35"")"),20)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IFERROR(__xludf.DUMMYFUNCTION("IMPORTRANGE(""https://docs.google.com/spreadsheets/d/1QqKyyYR6Q21VydFLVH3TRQUabQu_ym0Zz7PgGX0-kHA/edit?usp=sharing"",""แผน!FG35"")"),1)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IFERROR(__xludf.DUMMYFUNCTION("IMPORTRANGE(""https://docs.google.com/spreadsheets/d/1QqKyyYR6Q21VydFLVH3TRQUabQu_ym0Zz7PgGX0-kHA/edit?usp=sharing"",""แผน!FH35"")"),0)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40</v>
      </c>
      <c r="J442" s="583">
        <f t="shared" si="194"/>
        <v>40</v>
      </c>
      <c r="K442" s="584">
        <f t="shared" ca="1" si="193"/>
        <v>100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80</v>
      </c>
      <c r="J443" s="563">
        <f t="shared" si="195"/>
        <v>80</v>
      </c>
      <c r="K443" s="564">
        <f t="shared" ca="1" si="193"/>
        <v>100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312680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312680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312680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IFERROR(__xludf.DUMMYFUNCTION("IMPORTRANGE(""https://docs.google.com/spreadsheets/d/1QqKyyYR6Q21VydFLVH3TRQUabQu_ym0Zz7PgGX0-kHA/edit?usp=sharing"",""แผน!FN35"")"),40)</f>
        <v>40</v>
      </c>
      <c r="J460" s="214">
        <v>40</v>
      </c>
      <c r="K460" s="496">
        <f ca="1">IF(I460&gt;0,J460*100/I460,0)</f>
        <v>100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IFERROR(__xludf.DUMMYFUNCTION("IMPORTRANGE(""https://docs.google.com/spreadsheets/d/1QqKyyYR6Q21VydFLVH3TRQUabQu_ym0Zz7PgGX0-kHA/edit?usp=sharing"",""แผน!FO35"")"),80)</f>
        <v>80</v>
      </c>
      <c r="J462" s="214">
        <v>80</v>
      </c>
      <c r="K462" s="496">
        <f ca="1">IF(I462&gt;0,J462*100/I462,0)</f>
        <v>100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IFERROR(__xludf.DUMMYFUNCTION("IMPORTRANGE(""https://docs.google.com/spreadsheets/d/1QqKyyYR6Q21VydFLVH3TRQUabQu_ym0Zz7PgGX0-kHA/edit?usp=sharing"",""แผน!FO35"")"),80)</f>
        <v>80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IFERROR(__xludf.DUMMYFUNCTION("IMPORTRANGE(""https://docs.google.com/spreadsheets/d/1QqKyyYR6Q21VydFLVH3TRQUabQu_ym0Zz7PgGX0-kHA/edit?usp=sharing"",""แผน!FN35"")"),40)</f>
        <v>40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IFERROR(__xludf.DUMMYFUNCTION("IMPORTRANGE(""https://docs.google.com/spreadsheets/d/1QqKyyYR6Q21VydFLVH3TRQUabQu_ym0Zz7PgGX0-kHA/edit?usp=sharing"",""แผน!FX35"")"),131)</f>
        <v>131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IFERROR(__xludf.DUMMYFUNCTION("IMPORTRANGE(""https://docs.google.com/spreadsheets/d/1QqKyyYR6Q21VydFLVH3TRQUabQu_ym0Zz7PgGX0-kHA/edit?usp=sharing"",""แผน!FW35"")"),1300)</f>
        <v>1300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1161548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IFERROR(__xludf.DUMMYFUNCTION("IMPORTRANGE(""https://docs.google.com/spreadsheets/d/1QqKyyYR6Q21VydFLVH3TRQUabQu_ym0Zz7PgGX0-kHA/edit?usp=sharing"",""แผน!FS35"")"),1161548)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IFERROR(__xludf.DUMMYFUNCTION("IMPORTRANGE(""https://docs.google.com/spreadsheets/d/1QqKyyYR6Q21VydFLVH3TRQUabQu_ym0Zz7PgGX0-kHA/edit?usp=sharing"",""แผน!FY35"")"),1170)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IFERROR(__xludf.DUMMYFUNCTION("IMPORTRANGE(""https://docs.google.com/spreadsheets/d/1QqKyyYR6Q21VydFLVH3TRQUabQu_ym0Zz7PgGX0-kHA/edit?usp=sharing"",""แผน!FZ35"")"),117)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IFERROR(__xludf.DUMMYFUNCTION("IMPORTRANGE(""https://docs.google.com/spreadsheets/d/1QqKyyYR6Q21VydFLVH3TRQUabQu_ym0Zz7PgGX0-kHA/edit?usp=sharing"",""แผน!GA35"")"),130)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IFERROR(__xludf.DUMMYFUNCTION("IMPORTRANGE(""https://docs.google.com/spreadsheets/d/1QqKyyYR6Q21VydFLVH3TRQUabQu_ym0Zz7PgGX0-kHA/edit?usp=sharing"",""แผน!GB35"")"),13)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IFERROR(__xludf.DUMMYFUNCTION("IMPORTRANGE(""https://docs.google.com/spreadsheets/d/1QqKyyYR6Q21VydFLVH3TRQUabQu_ym0Zz7PgGX0-kHA/edit?usp=sharing"",""แผน!GC35"")"),1)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IFERROR(__xludf.DUMMYFUNCTION("IMPORTRANGE(""https://docs.google.com/spreadsheets/d/1QqKyyYR6Q21VydFLVH3TRQUabQu_ym0Zz7PgGX0-kHA/edit?usp=sharing"",""แผน!FY35"")"),1170)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IFERROR(__xludf.DUMMYFUNCTION("IMPORTRANGE(""https://docs.google.com/spreadsheets/d/1QqKyyYR6Q21VydFLVH3TRQUabQu_ym0Zz7PgGX0-kHA/edit?usp=sharing"",""แผน!GA35"")"),130)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IFERROR(__xludf.DUMMYFUNCTION("IMPORTRANGE(""https://docs.google.com/spreadsheets/d/1QqKyyYR6Q21VydFLVH3TRQUabQu_ym0Zz7PgGX0-kHA/edit?usp=sharing"",""แผน!GU35"")"),0)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IFERROR(__xludf.DUMMYFUNCTION("IMPORTRANGE(""https://docs.google.com/spreadsheets/d/1QqKyyYR6Q21VydFLVH3TRQUabQu_ym0Zz7PgGX0-kHA/edit?usp=sharing"",""แผน!GV35"")"),0)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IFERROR(__xludf.DUMMYFUNCTION("IMPORTRANGE(""https://docs.google.com/spreadsheets/d/1QqKyyYR6Q21VydFLVH3TRQUabQu_ym0Zz7PgGX0-kHA/edit?usp=sharing"",""แผน!GW35"")"),0)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IFERROR(__xludf.DUMMYFUNCTION("IMPORTRANGE(""https://docs.google.com/spreadsheets/d/1QqKyyYR6Q21VydFLVH3TRQUabQu_ym0Zz7PgGX0-kHA/edit?usp=sharing"",""แผน!GX35"")"),0)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IFERROR(__xludf.DUMMYFUNCTION("IMPORTRANGE(""https://docs.google.com/spreadsheets/d/1QqKyyYR6Q21VydFLVH3TRQUabQu_ym0Zz7PgGX0-kHA/edit?usp=sharing"",""แผน!GY35"")"),0)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IFERROR(__xludf.DUMMYFUNCTION("IMPORTRANGE(""https://docs.google.com/spreadsheets/d/1QqKyyYR6Q21VydFLVH3TRQUabQu_ym0Zz7PgGX0-kHA/edit?usp=sharing"",""แผน!GZ35"")"),0)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71012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377416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377416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377416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IFERROR(__xludf.DUMMYFUNCTION("IMPORTRANGE(""https://docs.google.com/spreadsheets/d/1QqKyyYR6Q21VydFLVH3TRQUabQu_ym0Zz7PgGX0-kHA/edit?usp=sharing"",""แผน!HB35"")"),377416)</f>
        <v>377416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71012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IFERROR(__xludf.DUMMYFUNCTION("IMPORTRANGE(""https://docs.google.com/spreadsheets/d/1QqKyyYR6Q21VydFLVH3TRQUabQu_ym0Zz7PgGX0-kHA/edit?usp=sharing"",""แผน!HH35"")"),71012)</f>
        <v>71012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IFERROR(__xludf.DUMMYFUNCTION("IMPORTRANGE(""https://docs.google.com/spreadsheets/d/1QqKyyYR6Q21VydFLVH3TRQUabQu_ym0Zz7PgGX0-kHA/edit?usp=sharing"",""แผน!HH35"")"),71012)</f>
        <v>71012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IFERROR(__xludf.DUMMYFUNCTION("IMPORTRANGE(""https://docs.google.com/spreadsheets/d/1QqKyyYR6Q21VydFLVH3TRQUabQu_ym0Zz7PgGX0-kHA/edit?usp=sharing"",""แผน!HH35"")"),71012)</f>
        <v>71012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647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IFERROR(__xludf.DUMMYFUNCTION("IMPORTRANGE(""https://docs.google.com/spreadsheets/d/1QqKyyYR6Q21VydFLVH3TRQUabQu_ym0Zz7PgGX0-kHA/edit?usp=sharing"",""แผน!HJ35"")"),647)</f>
        <v>647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IFERROR(__xludf.DUMMYFUNCTION("IMPORTRANGE(""https://docs.google.com/spreadsheets/d/1QqKyyYR6Q21VydFLVH3TRQUabQu_ym0Zz7PgGX0-kHA/edit?usp=sharing"",""แผน!HI35"")"),50)</f>
        <v>50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IFERROR(__xludf.DUMMYFUNCTION("IMPORTRANGE(""https://docs.google.com/spreadsheets/d/1QqKyyYR6Q21VydFLVH3TRQUabQu_ym0Zz7PgGX0-kHA/edit?usp=sharing"",""แผน!HL35"")"),0)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IFERROR(__xludf.DUMMYFUNCTION("IMPORTRANGE(""https://docs.google.com/spreadsheets/d/1QqKyyYR6Q21VydFLVH3TRQUabQu_ym0Zz7PgGX0-kHA/edit?usp=sharing"",""แผน!HK35"")"),0)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 hidden="1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 hidden="1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 hidden="1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 hidden="1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 hidden="1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 hidden="1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 hidden="1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 hidden="1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 hidden="1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 hidden="1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IFERROR(__xludf.DUMMYFUNCTION("IMPORTRANGE(""https://docs.google.com/spreadsheets/d/1QqKyyYR6Q21VydFLVH3TRQUabQu_ym0Zz7PgGX0-kHA/edit?usp=sharing"",""แผน!HR35"")"),0)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 hidden="1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IFERROR(__xludf.DUMMYFUNCTION("IMPORTRANGE(""https://docs.google.com/spreadsheets/d/1QqKyyYR6Q21VydFLVH3TRQUabQu_ym0Zz7PgGX0-kHA/edit?usp=sharing"",""แผน!HR35"")"),0)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 hidden="1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 hidden="1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IFERROR(__xludf.DUMMYFUNCTION("IMPORTRANGE(""https://docs.google.com/spreadsheets/d/1XWAQStnk-4SwqDmLtmXYiTMKHgktTP8We1SCoS47DrQ/edit?usp=sharing"",""จัดที่ดิน!AT35"")"),0)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 hidden="1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IFERROR(__xludf.DUMMYFUNCTION("IMPORTRANGE(""https://docs.google.com/spreadsheets/d/1QqKyyYR6Q21VydFLVH3TRQUabQu_ym0Zz7PgGX0-kHA/edit?usp=sharing"",""แผน!HS35"")"),0)</f>
        <v>0</v>
      </c>
      <c r="J647" s="269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 hidden="1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IFERROR(__xludf.DUMMYFUNCTION("IMPORTRANGE(""https://docs.google.com/spreadsheets/d/1XWAQStnk-4SwqDmLtmXYiTMKHgktTP8We1SCoS47DrQ/edit?usp=sharing"",""จัดที่ดิน!AV35"")"),0)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 hidden="1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IFERROR(__xludf.DUMMYFUNCTION("IMPORTRANGE(""https://docs.google.com/spreadsheets/d/1QqKyyYR6Q21VydFLVH3TRQUabQu_ym0Zz7PgGX0-kHA/edit?usp=sharing"",""แผน!HS35"")"),0)</f>
        <v>0</v>
      </c>
      <c r="J649" s="269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 hidden="1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IFERROR(__xludf.DUMMYFUNCTION("IMPORTRANGE(""https://docs.google.com/spreadsheets/d/1XWAQStnk-4SwqDmLtmXYiTMKHgktTP8We1SCoS47DrQ/edit?usp=sharing"",""จัดที่ดิน!AX35"")"),0)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 hidden="1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IFERROR(__xludf.DUMMYFUNCTION("IMPORTRANGE(""https://docs.google.com/spreadsheets/d/1QqKyyYR6Q21VydFLVH3TRQUabQu_ym0Zz7PgGX0-kHA/edit?usp=sharing"",""แผน!HS35"")"),0)</f>
        <v>0</v>
      </c>
      <c r="J651" s="269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 hidden="1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IFERROR(__xludf.DUMMYFUNCTION("IMPORTRANGE(""https://docs.google.com/spreadsheets/d/1XWAQStnk-4SwqDmLtmXYiTMKHgktTP8We1SCoS47DrQ/edit?usp=sharing"",""จัดที่ดิน!AZ35"")"),0)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50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11000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11000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11000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IFERROR(__xludf.DUMMYFUNCTION("IMPORTRANGE(""https://docs.google.com/spreadsheets/d/1QqKyyYR6Q21VydFLVH3TRQUabQu_ym0Zz7PgGX0-kHA/edit?usp=sharing"",""แผน!IA35"")"),50)</f>
        <v>50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IFERROR(__xludf.DUMMYFUNCTION("IMPORTRANGE(""https://docs.google.com/spreadsheets/d/1QqKyyYR6Q21VydFLVH3TRQUabQu_ym0Zz7PgGX0-kHA/edit?usp=sharing"",""แผน!HZ35"")"),5)</f>
        <v>5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IFERROR(__xludf.DUMMYFUNCTION("IMPORTRANGE(""https://docs.google.com/spreadsheets/d/1QqKyyYR6Q21VydFLVH3TRQUabQu_ym0Zz7PgGX0-kHA/edit?usp=sharing"",""แผน!HZ35"")"),5)</f>
        <v>5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IFERROR(__xludf.DUMMYFUNCTION("IMPORTRANGE(""https://docs.google.com/spreadsheets/d/1QqKyyYR6Q21VydFLVH3TRQUabQu_ym0Zz7PgGX0-kHA/edit?usp=sharing"",""แผน!IB35"")"),0)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8000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8000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8000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IFERROR(__xludf.DUMMYFUNCTION("IMPORTRANGE(""https://docs.google.com/spreadsheets/d/1QqKyyYR6Q21VydFLVH3TRQUabQu_ym0Zz7PgGX0-kHA/edit?usp=sharing"",""แผน!IC35"")"),70)</f>
        <v>70</v>
      </c>
      <c r="J699" s="269">
        <f ca="1">IFERROR(__xludf.DUMMYFUNCTION("IMPORTRANGE(""https://docs.google.com/spreadsheets/d/1XWAQStnk-4SwqDmLtmXYiTMKHgktTP8We1SCoS47DrQ/edit?usp=sharing"",""จัดที่ดิน!BB35"")"),0)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IFERROR(__xludf.DUMMYFUNCTION("IMPORTRANGE(""https://docs.google.com/spreadsheets/d/1QqKyyYR6Q21VydFLVH3TRQUabQu_ym0Zz7PgGX0-kHA/edit?usp=sharing"",""แผน!ID35"")"),0)</f>
        <v>0</v>
      </c>
      <c r="J700" s="269">
        <f ca="1">IFERROR(__xludf.DUMMYFUNCTION("IMPORTRANGE(""https://docs.google.com/spreadsheets/d/1XWAQStnk-4SwqDmLtmXYiTMKHgktTP8We1SCoS47DrQ/edit?usp=sharing"",""จัดที่ดิน!BD35"")"),0)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IFERROR(__xludf.DUMMYFUNCTION("IMPORTRANGE(""https://docs.google.com/spreadsheets/d/1QqKyyYR6Q21VydFLVH3TRQUabQu_ym0Zz7PgGX0-kHA/edit?usp=sharing"",""แผน!IE35"")"),0)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IFERROR(__xludf.DUMMYFUNCTION("IMPORTRANGE(""https://docs.google.com/spreadsheets/d/1QqKyyYR6Q21VydFLVH3TRQUabQu_ym0Zz7PgGX0-kHA/edit?usp=sharing"",""แผน!IF35"")"),0)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IFERROR(__xludf.DUMMYFUNCTION("IMPORTRANGE(""https://docs.google.com/spreadsheets/d/1QqKyyYR6Q21VydFLVH3TRQUabQu_ym0Zz7PgGX0-kHA/edit?usp=sharing"",""แผน!IG35"")"),0)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IFERROR(__xludf.DUMMYFUNCTION("IMPORTRANGE(""https://docs.google.com/spreadsheets/d/1QqKyyYR6Q21VydFLVH3TRQUabQu_ym0Zz7PgGX0-kHA/edit?usp=sharing"",""แผน!IH35"")"),0)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IFERROR(__xludf.DUMMYFUNCTION("IMPORTRANGE(""https://docs.google.com/spreadsheets/d/1XWAQStnk-4SwqDmLtmXYiTMKHgktTP8We1SCoS47DrQ/edit?usp=sharing"",""จัดที่ดิน!BF35"")"),0)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IFERROR(__xludf.DUMMYFUNCTION("IMPORTRANGE(""https://docs.google.com/spreadsheets/d/1XWAQStnk-4SwqDmLtmXYiTMKHgktTP8We1SCoS47DrQ/edit?usp=sharing"",""จัดที่ดิน!BG35"")"),0)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IFERROR(__xludf.DUMMYFUNCTION("IMPORTRANGE(""https://docs.google.com/spreadsheets/d/1QqKyyYR6Q21VydFLVH3TRQUabQu_ym0Zz7PgGX0-kHA/edit?usp=sharing"",""แผน!II35"")"),0)</f>
        <v>0</v>
      </c>
      <c r="J720" s="269">
        <f ca="1">IFERROR(__xludf.DUMMYFUNCTION("IMPORTRANGE(""https://docs.google.com/spreadsheets/d/1XWAQStnk-4SwqDmLtmXYiTMKHgktTP8We1SCoS47DrQ/edit?usp=sharing"",""จัดที่ดิน!BH35"")"),0)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IFERROR(__xludf.DUMMYFUNCTION("IMPORTRANGE(""https://docs.google.com/spreadsheets/d/1QqKyyYR6Q21VydFLVH3TRQUabQu_ym0Zz7PgGX0-kHA/edit?usp=sharing"",""แผน!IJ35"")"),0)</f>
        <v>0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IFERROR(__xludf.DUMMYFUNCTION("IMPORTRANGE(""https://docs.google.com/spreadsheets/d/1QqKyyYR6Q21VydFLVH3TRQUabQu_ym0Zz7PgGX0-kHA/edit?usp=sharing"",""แผน!IK35"")"),0)</f>
        <v>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IFERROR(__xludf.DUMMYFUNCTION("IMPORTRANGE(""https://docs.google.com/spreadsheets/d/1QqKyyYR6Q21VydFLVH3TRQUabQu_ym0Zz7PgGX0-kHA/edit?usp=sharing"",""แผน!IL35"")"),0)</f>
        <v>0</v>
      </c>
      <c r="J723" s="269">
        <f ca="1">IFERROR(__xludf.DUMMYFUNCTION("IMPORTRANGE(""https://docs.google.com/spreadsheets/d/1XWAQStnk-4SwqDmLtmXYiTMKHgktTP8We1SCoS47DrQ/edit?usp=sharing"",""จัดที่ดิน!BM35"")"),0)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IFERROR(__xludf.DUMMYFUNCTION("IMPORTRANGE(""https://docs.google.com/spreadsheets/d/1XWAQStnk-4SwqDmLtmXYiTMKHgktTP8We1SCoS47DrQ/edit?usp=sharing"",""จัดที่ดิน!BN35"")"),0)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IFERROR(__xludf.DUMMYFUNCTION("IMPORTRANGE(""https://docs.google.com/spreadsheets/d/1QqKyyYR6Q21VydFLVH3TRQUabQu_ym0Zz7PgGX0-kHA/edit?usp=sharing"",""แผน!IM35"")"),0)</f>
        <v>0</v>
      </c>
      <c r="J725" s="269">
        <f ca="1">IFERROR(__xludf.DUMMYFUNCTION("IMPORTRANGE(""https://docs.google.com/spreadsheets/d/1XWAQStnk-4SwqDmLtmXYiTMKHgktTP8We1SCoS47DrQ/edit?usp=sharing"",""จัดที่ดิน!BO35"")"),0)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IFERROR(__xludf.DUMMYFUNCTION("IMPORTRANGE(""https://docs.google.com/spreadsheets/d/1QqKyyYR6Q21VydFLVH3TRQUabQu_ym0Zz7PgGX0-kHA/edit?usp=sharing"",""แผน!IN35"")"),0)</f>
        <v>0</v>
      </c>
      <c r="J726" s="269">
        <f ca="1">IFERROR(__xludf.DUMMYFUNCTION("IMPORTRANGE(""https://docs.google.com/spreadsheets/d/1XWAQStnk-4SwqDmLtmXYiTMKHgktTP8We1SCoS47DrQ/edit?usp=sharing"",""จัดที่ดิน!BR35"")"),0)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IFERROR(__xludf.DUMMYFUNCTION("IMPORTRANGE(""https://docs.google.com/spreadsheets/d/1XWAQStnk-4SwqDmLtmXYiTMKHgktTP8We1SCoS47DrQ/edit?usp=sharing"",""จัดที่ดิน!BS35"")"),0)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IFERROR(__xludf.DUMMYFUNCTION("IMPORTRANGE(""https://docs.google.com/spreadsheets/d/1QqKyyYR6Q21VydFLVH3TRQUabQu_ym0Zz7PgGX0-kHA/edit?usp=sharing"",""แผน!IO35"")"),0)</f>
        <v>0</v>
      </c>
      <c r="J728" s="269">
        <f ca="1">IFERROR(__xludf.DUMMYFUNCTION("IMPORTRANGE(""https://docs.google.com/spreadsheets/d/1XWAQStnk-4SwqDmLtmXYiTMKHgktTP8We1SCoS47DrQ/edit?usp=sharing"",""จัดที่ดิน!BT35"")"),0)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IFERROR(__xludf.DUMMYFUNCTION("IMPORTRANGE(""https://docs.google.com/spreadsheets/d/1QqKyyYR6Q21VydFLVH3TRQUabQu_ym0Zz7PgGX0-kHA/edit?usp=sharing"",""แผน!IP35"")"),0)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IFERROR(__xludf.DUMMYFUNCTION("IMPORTRANGE(""https://docs.google.com/spreadsheets/d/1MaWodYyGHDf7siQLGxnXhG4mBNTNIuy296niS2xXulU/edit?usp=sharing"",""RTK!I35"")"),0)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69">
        <f ca="1">IFERROR(__xludf.DUMMYFUNCTION("IMPORTRANGE(""https://docs.google.com/spreadsheets/d/19vJNZY_5yjcGF2XGBMNZRCAIB0Kwfpjp8YEOfu-bneM/edit?usp=sharing"",""งานกองทุน!F35"")"),10000)</f>
        <v>10000</v>
      </c>
      <c r="K821" s="496">
        <f t="shared" ref="K821:K828" ca="1" si="334">IF(I821&gt;0,J821*100/I821,0)</f>
        <v>0.41430006214790949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IFERROR(__xludf.DUMMYFUNCTION("IMPORTRANGE(""https://docs.google.com/spreadsheets/d/19vJNZY_5yjcGF2XGBMNZRCAIB0Kwfpjp8YEOfu-bneM/edit?usp=sharing"",""งานกองทุน!C35"")"),241)</f>
        <v>241</v>
      </c>
      <c r="J822" s="269">
        <f ca="1">IFERROR(__xludf.DUMMYFUNCTION("IMPORTRANGE(""https://docs.google.com/spreadsheets/d/19vJNZY_5yjcGF2XGBMNZRCAIB0Kwfpjp8YEOfu-bneM/edit?usp=sharing"",""งานกองทุน!E35"")"),1)</f>
        <v>1</v>
      </c>
      <c r="K822" s="496">
        <f t="shared" ca="1" si="334"/>
        <v>0.41493775933609961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69">
        <f ca="1">IFERROR(__xludf.DUMMYFUNCTION("IMPORTRANGE(""https://docs.google.com/spreadsheets/d/19vJNZY_5yjcGF2XGBMNZRCAIB0Kwfpjp8YEOfu-bneM/edit?usp=sharing"",""งานกองทุน!K35"")"),11393.85)</f>
        <v>11393.85</v>
      </c>
      <c r="K823" s="496">
        <f t="shared" ca="1" si="334"/>
        <v>0.42171785220052987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IFERROR(__xludf.DUMMYFUNCTION("IMPORTRANGE(""https://docs.google.com/spreadsheets/d/19vJNZY_5yjcGF2XGBMNZRCAIB0Kwfpjp8YEOfu-bneM/edit?usp=sharing"",""งานกองทุน!H35"")"),123)</f>
        <v>123</v>
      </c>
      <c r="J824" s="269">
        <f ca="1">IFERROR(__xludf.DUMMYFUNCTION("IMPORTRANGE(""https://docs.google.com/spreadsheets/d/19vJNZY_5yjcGF2XGBMNZRCAIB0Kwfpjp8YEOfu-bneM/edit?usp=sharing"",""งานกองทุน!J35"")"),2)</f>
        <v>2</v>
      </c>
      <c r="K824" s="496">
        <f t="shared" ca="1" si="334"/>
        <v>1.6260162601626016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IFERROR(__xludf.DUMMYFUNCTION("IMPORTRANGE(""https://docs.google.com/spreadsheets/d/19vJNZY_5yjcGF2XGBMNZRCAIB0Kwfpjp8YEOfu-bneM/edit?usp=sharing"",""งานกองทุน!N35"")"),253257.97)</f>
        <v>253257.97</v>
      </c>
      <c r="J825" s="269">
        <f ca="1">IFERROR(__xludf.DUMMYFUNCTION("IMPORTRANGE(""https://docs.google.com/spreadsheets/d/19vJNZY_5yjcGF2XGBMNZRCAIB0Kwfpjp8YEOfu-bneM/edit?usp=sharing"",""งานกองทุน!P35"")"),538.91)</f>
        <v>538.91</v>
      </c>
      <c r="K825" s="496">
        <f t="shared" ca="1" si="334"/>
        <v>0.21279093408195604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IFERROR(__xludf.DUMMYFUNCTION("IMPORTRANGE(""https://docs.google.com/spreadsheets/d/19vJNZY_5yjcGF2XGBMNZRCAIB0Kwfpjp8YEOfu-bneM/edit?usp=sharing"",""งานกองทุน!M35"")"),19)</f>
        <v>19</v>
      </c>
      <c r="J826" s="269">
        <f ca="1">IFERROR(__xludf.DUMMYFUNCTION("IMPORTRANGE(""https://docs.google.com/spreadsheets/d/19vJNZY_5yjcGF2XGBMNZRCAIB0Kwfpjp8YEOfu-bneM/edit?usp=sharing"",""งานกองทุน!O35"")"),1)</f>
        <v>1</v>
      </c>
      <c r="K826" s="496">
        <f t="shared" ca="1" si="334"/>
        <v>5.2631578947368425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IFERROR(__xludf.DUMMYFUNCTION("IMPORTRANGE(""https://docs.google.com/spreadsheets/d/19vJNZY_5yjcGF2XGBMNZRCAIB0Kwfpjp8YEOfu-bneM/edit?usp=sharing"",""งานกองทุน!S35"")"),2500000)</f>
        <v>2500000</v>
      </c>
      <c r="J827" s="269">
        <f ca="1">IFERROR(__xludf.DUMMYFUNCTION("IMPORTRANGE(""https://docs.google.com/spreadsheets/d/19vJNZY_5yjcGF2XGBMNZRCAIB0Kwfpjp8YEOfu-bneM/edit?usp=sharing"",""งานกองทุน!U35"")"),0)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IFERROR(__xludf.DUMMYFUNCTION("IMPORTRANGE(""https://docs.google.com/spreadsheets/d/19vJNZY_5yjcGF2XGBMNZRCAIB0Kwfpjp8YEOfu-bneM/edit?usp=sharing"",""งานกองทุน!R35"")"),80)</f>
        <v>80</v>
      </c>
      <c r="J828" s="499">
        <f ca="1">IFERROR(__xludf.DUMMYFUNCTION("IMPORTRANGE(""https://docs.google.com/spreadsheets/d/19vJNZY_5yjcGF2XGBMNZRCAIB0Kwfpjp8YEOfu-bneM/edit?usp=sharing"",""งานกองทุน!T35"")"),21)</f>
        <v>21</v>
      </c>
      <c r="K828" s="500">
        <f t="shared" ca="1" si="334"/>
        <v>26.25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6EF79-E427-4A37-9BCC-CD80C65171D6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activeCell="G418" sqref="G418"/>
      <selection pane="bottomLeft" activeCell="A3" sqref="A3:P3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2.5703125" bestFit="1" customWidth="1"/>
    <col min="11" max="11" width="12.5703125" customWidth="1"/>
    <col min="12" max="12" width="23" bestFit="1" customWidth="1"/>
    <col min="13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339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12000312</v>
      </c>
      <c r="M8" s="21">
        <f t="shared" ca="1" si="0"/>
        <v>3531732</v>
      </c>
      <c r="N8" s="21">
        <f t="shared" ca="1" si="0"/>
        <v>1884081.88</v>
      </c>
      <c r="O8" s="21">
        <f t="shared" ref="O8:O16" ca="1" si="1">IF(L8&gt;0,N8*100/L8,0)</f>
        <v>15.700274126206052</v>
      </c>
      <c r="P8" s="21">
        <f t="shared" ref="P8:P16" ca="1" si="2">IF(M8&gt;0,N8*100/M8,0)</f>
        <v>53.347249451543888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12000312</v>
      </c>
      <c r="M10" s="30">
        <f t="shared" ca="1" si="3"/>
        <v>3531732</v>
      </c>
      <c r="N10" s="30">
        <f t="shared" ca="1" si="3"/>
        <v>1884081.88</v>
      </c>
      <c r="O10" s="30">
        <f t="shared" ca="1" si="1"/>
        <v>15.700274126206052</v>
      </c>
      <c r="P10" s="30">
        <f t="shared" ca="1" si="2"/>
        <v>53.347249451543888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11589012</v>
      </c>
      <c r="M11" s="496">
        <f t="shared" ca="1" si="4"/>
        <v>3120432</v>
      </c>
      <c r="N11" s="496">
        <f t="shared" ca="1" si="4"/>
        <v>1472781.88</v>
      </c>
      <c r="O11" s="496">
        <f t="shared" ca="1" si="1"/>
        <v>12.708433471291599</v>
      </c>
      <c r="P11" s="496">
        <f t="shared" ca="1" si="2"/>
        <v>47.198012326498379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11589012</v>
      </c>
      <c r="M13" s="93">
        <f t="shared" ca="1" si="5"/>
        <v>3120432</v>
      </c>
      <c r="N13" s="93">
        <f t="shared" ca="1" si="5"/>
        <v>1472781.88</v>
      </c>
      <c r="O13" s="93">
        <f t="shared" ca="1" si="1"/>
        <v>12.708433471291599</v>
      </c>
      <c r="P13" s="93">
        <f t="shared" ca="1" si="2"/>
        <v>47.198012326498379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411300</v>
      </c>
      <c r="M14" s="496">
        <f t="shared" ca="1" si="6"/>
        <v>411300</v>
      </c>
      <c r="N14" s="496">
        <f t="shared" ca="1" si="6"/>
        <v>411300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6554092</v>
      </c>
      <c r="M18" s="21">
        <f t="shared" ca="1" si="8"/>
        <v>3531732</v>
      </c>
      <c r="N18" s="21">
        <f t="shared" ca="1" si="8"/>
        <v>1309326.0900000001</v>
      </c>
      <c r="O18" s="21">
        <f t="shared" ref="O18:O26" ca="1" si="9">IF(L18&gt;0,N18*100/L18,0)</f>
        <v>19.977230865846867</v>
      </c>
      <c r="P18" s="21">
        <f t="shared" ref="P18:P26" ca="1" si="10">IF(M18&gt;0,N18*100/M18,0)</f>
        <v>37.073200627907219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3531732</v>
      </c>
      <c r="N20" s="30">
        <f t="shared" ca="1" si="11"/>
        <v>1309326.0900000001</v>
      </c>
      <c r="O20" s="30">
        <f t="shared" ca="1" si="9"/>
        <v>19.977230865846867</v>
      </c>
      <c r="P20" s="30">
        <f t="shared" ca="1" si="10"/>
        <v>37.073200627907219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6142792</v>
      </c>
      <c r="M21" s="496">
        <f t="shared" ca="1" si="12"/>
        <v>3120432</v>
      </c>
      <c r="N21" s="496">
        <f t="shared" ca="1" si="12"/>
        <v>898026.09000000008</v>
      </c>
      <c r="O21" s="496">
        <f t="shared" ca="1" si="9"/>
        <v>14.619184403443908</v>
      </c>
      <c r="P21" s="496">
        <f t="shared" ca="1" si="10"/>
        <v>28.778902728852934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6142792</v>
      </c>
      <c r="M23" s="93">
        <f t="shared" ca="1" si="13"/>
        <v>3120432</v>
      </c>
      <c r="N23" s="93">
        <f t="shared" ca="1" si="13"/>
        <v>898026.09000000008</v>
      </c>
      <c r="O23" s="93">
        <f t="shared" ca="1" si="9"/>
        <v>14.619184403443908</v>
      </c>
      <c r="P23" s="93">
        <f t="shared" ca="1" si="10"/>
        <v>28.778902728852934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411300</v>
      </c>
      <c r="M24" s="496">
        <f t="shared" ca="1" si="14"/>
        <v>411300</v>
      </c>
      <c r="N24" s="496">
        <f t="shared" ca="1" si="14"/>
        <v>411300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5446220</v>
      </c>
      <c r="M28" s="21">
        <f t="shared" si="16"/>
        <v>0</v>
      </c>
      <c r="N28" s="21">
        <f t="shared" si="16"/>
        <v>574755.78999999992</v>
      </c>
      <c r="O28" s="21">
        <f t="shared" ref="O28:O37" ca="1" si="17">IF(L28&gt;0,N28*100/L28,0)</f>
        <v>10.553297332829006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5446220</v>
      </c>
      <c r="M30" s="30">
        <f t="shared" si="19"/>
        <v>0</v>
      </c>
      <c r="N30" s="30">
        <f t="shared" si="19"/>
        <v>574755.78999999992</v>
      </c>
      <c r="O30" s="30">
        <f t="shared" ca="1" si="17"/>
        <v>10.553297332829006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5446220</v>
      </c>
      <c r="M31" s="496">
        <f t="shared" si="20"/>
        <v>0</v>
      </c>
      <c r="N31" s="496">
        <f t="shared" si="20"/>
        <v>574755.78999999992</v>
      </c>
      <c r="O31" s="496">
        <f t="shared" ca="1" si="17"/>
        <v>10.553297332829006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5446220</v>
      </c>
      <c r="M33" s="93">
        <f t="shared" si="21"/>
        <v>0</v>
      </c>
      <c r="N33" s="93">
        <f t="shared" si="21"/>
        <v>574755.78999999992</v>
      </c>
      <c r="O33" s="93">
        <f t="shared" ca="1" si="17"/>
        <v>10.553297332829006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8">
        <f t="shared" ref="L37:N37" ca="1" si="24">L41+L53+L66+L88+L119+L132+L149+L165+L181+L261+L277+L298+L315+L328+L345+L389+L402</f>
        <v>6554092</v>
      </c>
      <c r="M37" s="58">
        <f t="shared" ca="1" si="24"/>
        <v>3531732</v>
      </c>
      <c r="N37" s="58">
        <f t="shared" ca="1" si="24"/>
        <v>1309326.0900000001</v>
      </c>
      <c r="O37" s="58">
        <f t="shared" ca="1" si="17"/>
        <v>19.977230865846867</v>
      </c>
      <c r="P37" s="58">
        <f t="shared" ca="1" si="18"/>
        <v>37.073200627907219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710292</v>
      </c>
      <c r="M41" s="84">
        <f t="shared" ca="1" si="25"/>
        <v>359142</v>
      </c>
      <c r="N41" s="84">
        <f t="shared" ca="1" si="25"/>
        <v>140792</v>
      </c>
      <c r="O41" s="84">
        <f t="shared" ref="O41:O49" ca="1" si="26">IF(L41&gt;0,N41*100/L41,0)</f>
        <v>19.821707128899099</v>
      </c>
      <c r="P41" s="84">
        <f t="shared" ref="P41:P49" ca="1" si="27">IF(M41&gt;0,N41*100/M41,0)</f>
        <v>39.202321087480719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359142</v>
      </c>
      <c r="N43" s="92">
        <f t="shared" ca="1" si="28"/>
        <v>140792</v>
      </c>
      <c r="O43" s="92">
        <f t="shared" ca="1" si="26"/>
        <v>19.821707128899099</v>
      </c>
      <c r="P43" s="92">
        <f t="shared" ca="1" si="27"/>
        <v>39.202321087480719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710292</v>
      </c>
      <c r="M44" s="496">
        <f t="shared" ca="1" si="29"/>
        <v>359142</v>
      </c>
      <c r="N44" s="496">
        <f t="shared" ca="1" si="29"/>
        <v>140792</v>
      </c>
      <c r="O44" s="496">
        <f t="shared" ca="1" si="26"/>
        <v>19.821707128899099</v>
      </c>
      <c r="P44" s="496">
        <f t="shared" ca="1" si="27"/>
        <v>39.202321087480719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IFERROR(__xludf.DUMMYFUNCTION("IMPORTRANGE(""https://docs.google.com/spreadsheets/d/1MeEWN-I1oV_STSDYn1IFDPWt_1FKiwhDph83XaGc0o0/edit?usp=sharing"",""งบพรบ!R36"")"),359142)</f>
        <v>359142</v>
      </c>
      <c r="N46" s="93">
        <f ca="1">IFERROR(__xludf.DUMMYFUNCTION("IMPORTRANGE(""https://docs.google.com/spreadsheets/d/1MeEWN-I1oV_STSDYn1IFDPWt_1FKiwhDph83XaGc0o0/edit?usp=sharing"",""งบพรบ!T36"")"),140792)</f>
        <v>140792</v>
      </c>
      <c r="O46" s="93">
        <f t="shared" ca="1" si="26"/>
        <v>19.821707128899099</v>
      </c>
      <c r="P46" s="93">
        <f t="shared" ca="1" si="27"/>
        <v>39.202321087480719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1133200</v>
      </c>
      <c r="M53" s="115">
        <f t="shared" ca="1" si="31"/>
        <v>581550</v>
      </c>
      <c r="N53" s="115">
        <f t="shared" ca="1" si="31"/>
        <v>298443.28000000003</v>
      </c>
      <c r="O53" s="115">
        <f t="shared" ref="O53:O61" ca="1" si="32">IF(L53&gt;0,N53*100/L53,0)</f>
        <v>26.33632897987999</v>
      </c>
      <c r="P53" s="115">
        <f t="shared" ref="P53:P61" ca="1" si="33">IF(M53&gt;0,N53*100/M53,0)</f>
        <v>51.318593414151842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581550</v>
      </c>
      <c r="N55" s="123">
        <f t="shared" ca="1" si="34"/>
        <v>298443.28000000003</v>
      </c>
      <c r="O55" s="123">
        <f t="shared" ca="1" si="32"/>
        <v>26.33632897987999</v>
      </c>
      <c r="P55" s="123">
        <f t="shared" ca="1" si="33"/>
        <v>51.318593414151842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1103300</v>
      </c>
      <c r="M56" s="496">
        <f t="shared" ca="1" si="35"/>
        <v>551650</v>
      </c>
      <c r="N56" s="496">
        <f t="shared" ca="1" si="35"/>
        <v>268543.28000000003</v>
      </c>
      <c r="O56" s="496">
        <f t="shared" ca="1" si="32"/>
        <v>24.340005438230765</v>
      </c>
      <c r="P56" s="496">
        <f t="shared" ca="1" si="33"/>
        <v>48.68001087646153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IFERROR(__xludf.DUMMYFUNCTION("IMPORTRANGE(""https://docs.google.com/spreadsheets/d/1MeEWN-I1oV_STSDYn1IFDPWt_1FKiwhDph83XaGc0o0/edit?usp=sharing"",""งบพรบ!AB36"")"),551650)</f>
        <v>551650</v>
      </c>
      <c r="N58" s="93">
        <f ca="1">IFERROR(__xludf.DUMMYFUNCTION("IMPORTRANGE(""https://docs.google.com/spreadsheets/d/1MeEWN-I1oV_STSDYn1IFDPWt_1FKiwhDph83XaGc0o0/edit?usp=sharing"",""งบพรบ!AD36"")"),268543.28)</f>
        <v>268543.28000000003</v>
      </c>
      <c r="O58" s="93">
        <f t="shared" ca="1" si="32"/>
        <v>24.340005438230765</v>
      </c>
      <c r="P58" s="93">
        <f t="shared" ca="1" si="33"/>
        <v>48.68001087646153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29900</v>
      </c>
      <c r="M59" s="496">
        <f t="shared" ca="1" si="36"/>
        <v>29900</v>
      </c>
      <c r="N59" s="496">
        <f t="shared" ca="1" si="36"/>
        <v>29900</v>
      </c>
      <c r="O59" s="496">
        <f t="shared" ca="1" si="32"/>
        <v>100</v>
      </c>
      <c r="P59" s="496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63900</v>
      </c>
      <c r="M88" s="155">
        <f t="shared" ca="1" si="49"/>
        <v>54600</v>
      </c>
      <c r="N88" s="155">
        <f t="shared" ca="1" si="49"/>
        <v>7920</v>
      </c>
      <c r="O88" s="155">
        <f t="shared" ref="O88:O96" ca="1" si="50">IF(L88&gt;0,N88*100/L88,0)</f>
        <v>12.394366197183098</v>
      </c>
      <c r="P88" s="155">
        <f t="shared" ref="P88:P96" ca="1" si="51">IF(M88&gt;0,N88*100/M88,0)</f>
        <v>14.505494505494505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63900</v>
      </c>
      <c r="M90" s="93">
        <f t="shared" ca="1" si="52"/>
        <v>54600</v>
      </c>
      <c r="N90" s="93">
        <f t="shared" ca="1" si="52"/>
        <v>7920</v>
      </c>
      <c r="O90" s="93">
        <f t="shared" ca="1" si="50"/>
        <v>12.394366197183098</v>
      </c>
      <c r="P90" s="93">
        <f t="shared" ca="1" si="51"/>
        <v>14.505494505494505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63900</v>
      </c>
      <c r="M91" s="496">
        <f t="shared" ca="1" si="53"/>
        <v>54600</v>
      </c>
      <c r="N91" s="496">
        <f t="shared" ca="1" si="53"/>
        <v>7920</v>
      </c>
      <c r="O91" s="496">
        <f t="shared" ca="1" si="50"/>
        <v>12.394366197183098</v>
      </c>
      <c r="P91" s="496">
        <f t="shared" ca="1" si="51"/>
        <v>14.505494505494505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IFERROR(__xludf.DUMMYFUNCTION("IMPORTRANGE(""https://docs.google.com/spreadsheets/d/1MeEWN-I1oV_STSDYn1IFDPWt_1FKiwhDph83XaGc0o0/edit?usp=sharing"",""งบพรบ!AV36"")"),54600)</f>
        <v>54600</v>
      </c>
      <c r="N93" s="93">
        <f ca="1">IFERROR(__xludf.DUMMYFUNCTION("IMPORTRANGE(""https://docs.google.com/spreadsheets/d/1MeEWN-I1oV_STSDYn1IFDPWt_1FKiwhDph83XaGc0o0/edit?usp=sharing"",""งบพรบ!AX36"")"),7920)</f>
        <v>7920</v>
      </c>
      <c r="O93" s="93">
        <f t="shared" ca="1" si="50"/>
        <v>12.394366197183098</v>
      </c>
      <c r="P93" s="93">
        <f t="shared" ca="1" si="51"/>
        <v>14.505494505494505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IFERROR(__xludf.DUMMYFUNCTION("IMPORTRANGE(""https://docs.google.com/spreadsheets/d/1QqKyyYR6Q21VydFLVH3TRQUabQu_ym0Zz7PgGX0-kHA/edit?usp=sharing"",""แผน!K36"")"),75)</f>
        <v>75</v>
      </c>
      <c r="J98" s="269">
        <f>J102</f>
        <v>75</v>
      </c>
      <c r="K98" s="496">
        <f t="shared" ref="K98:K100" ca="1" si="55">IF(I98&gt;0,J98*100/I98,0)</f>
        <v>100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IFERROR(__xludf.DUMMYFUNCTION("IMPORTRANGE(""https://docs.google.com/spreadsheets/d/1QqKyyYR6Q21VydFLVH3TRQUabQu_ym0Zz7PgGX0-kHA/edit?usp=sharing"",""แผน!L36"")"),25)</f>
        <v>25</v>
      </c>
      <c r="J99" s="269">
        <f>J104</f>
        <v>25</v>
      </c>
      <c r="K99" s="496">
        <f t="shared" ca="1" si="55"/>
        <v>100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IFERROR(__xludf.DUMMYFUNCTION("IMPORTRANGE(""https://docs.google.com/spreadsheets/d/1QqKyyYR6Q21VydFLVH3TRQUabQu_ym0Zz7PgGX0-kHA/edit?usp=sharing"",""แผน!M36"")"),0)</f>
        <v>0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IFERROR(__xludf.DUMMYFUNCTION("IMPORTRANGE(""https://docs.google.com/spreadsheets/d/1QqKyyYR6Q21VydFLVH3TRQUabQu_ym0Zz7PgGX0-kHA/edit?usp=sharing"",""แผน!N36"")"),75)</f>
        <v>75</v>
      </c>
      <c r="J102" s="214">
        <v>75</v>
      </c>
      <c r="K102" s="496">
        <f t="shared" ref="K102:K104" ca="1" si="56">IF(I102&gt;0,J102*100/I102,0)</f>
        <v>100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IFERROR(__xludf.DUMMYFUNCTION("IMPORTRANGE(""https://docs.google.com/spreadsheets/d/1QqKyyYR6Q21VydFLVH3TRQUabQu_ym0Zz7PgGX0-kHA/edit?usp=sharing"",""แผน!O36"")"),25)</f>
        <v>25</v>
      </c>
      <c r="J103" s="214">
        <v>25</v>
      </c>
      <c r="K103" s="496">
        <f t="shared" ca="1" si="56"/>
        <v>100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IFERROR(__xludf.DUMMYFUNCTION("IMPORTRANGE(""https://docs.google.com/spreadsheets/d/1QqKyyYR6Q21VydFLVH3TRQUabQu_ym0Zz7PgGX0-kHA/edit?usp=sharing"",""แผน!O36"")"),25)</f>
        <v>25</v>
      </c>
      <c r="J104" s="214">
        <v>25</v>
      </c>
      <c r="K104" s="496">
        <f t="shared" ca="1" si="56"/>
        <v>100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IFERROR(__xludf.DUMMYFUNCTION("IMPORTRANGE(""https://docs.google.com/spreadsheets/d/1QqKyyYR6Q21VydFLVH3TRQUabQu_ym0Zz7PgGX0-kHA/edit?usp=sharing"",""แผน!P36"")"),0)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IFERROR(__xludf.DUMMYFUNCTION("IMPORTRANGE(""https://docs.google.com/spreadsheets/d/1QqKyyYR6Q21VydFLVH3TRQUabQu_ym0Zz7PgGX0-kHA/edit?usp=sharing"",""แผน!P36"")"),0)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IFERROR(__xludf.DUMMYFUNCTION("IMPORTRANGE(""https://docs.google.com/spreadsheets/d/1QqKyyYR6Q21VydFLVH3TRQUabQu_ym0Zz7PgGX0-kHA/edit?usp=sharing"",""แผน!Q36"")"),0)</f>
        <v>0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IFERROR(__xludf.DUMMYFUNCTION("IMPORTRANGE(""https://docs.google.com/spreadsheets/d/1QqKyyYR6Q21VydFLVH3TRQUabQu_ym0Zz7PgGX0-kHA/edit?usp=sharing"",""แผน!Q36"")"),0)</f>
        <v>0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17000</v>
      </c>
      <c r="M125" s="496">
        <f t="shared" ca="1" si="65"/>
        <v>17000</v>
      </c>
      <c r="N125" s="496">
        <f t="shared" ca="1" si="65"/>
        <v>17000</v>
      </c>
      <c r="O125" s="496">
        <f t="shared" ca="1" si="61"/>
        <v>100</v>
      </c>
      <c r="P125" s="49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20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303310</v>
      </c>
      <c r="M132" s="155">
        <f t="shared" ca="1" si="69"/>
        <v>267200</v>
      </c>
      <c r="N132" s="155">
        <f t="shared" ca="1" si="69"/>
        <v>209360</v>
      </c>
      <c r="O132" s="155">
        <f t="shared" ref="O132:O140" ca="1" si="70">IF(L132&gt;0,N132*100/L132,0)</f>
        <v>69.025089842075758</v>
      </c>
      <c r="P132" s="155">
        <f t="shared" ref="P132:P140" ca="1" si="71">IF(M132&gt;0,N132*100/M132,0)</f>
        <v>78.35329341317366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303310</v>
      </c>
      <c r="M134" s="93">
        <f t="shared" ca="1" si="72"/>
        <v>267200</v>
      </c>
      <c r="N134" s="93">
        <f t="shared" ca="1" si="72"/>
        <v>209360</v>
      </c>
      <c r="O134" s="93">
        <f t="shared" ca="1" si="70"/>
        <v>69.025089842075758</v>
      </c>
      <c r="P134" s="93">
        <f t="shared" ca="1" si="71"/>
        <v>78.35329341317366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97310</v>
      </c>
      <c r="M135" s="496">
        <f t="shared" ca="1" si="73"/>
        <v>61200</v>
      </c>
      <c r="N135" s="496">
        <f t="shared" ca="1" si="73"/>
        <v>3360</v>
      </c>
      <c r="O135" s="496">
        <f t="shared" ca="1" si="70"/>
        <v>3.4528825403350116</v>
      </c>
      <c r="P135" s="496">
        <f t="shared" ca="1" si="71"/>
        <v>5.4901960784313726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IFERROR(__xludf.DUMMYFUNCTION("IMPORTRANGE(""https://docs.google.com/spreadsheets/d/1MeEWN-I1oV_STSDYn1IFDPWt_1FKiwhDph83XaGc0o0/edit?usp=sharing"",""งบพรบ!BP36"")"),61200)</f>
        <v>61200</v>
      </c>
      <c r="N137" s="93">
        <f ca="1">IFERROR(__xludf.DUMMYFUNCTION("IMPORTRANGE(""https://docs.google.com/spreadsheets/d/1MeEWN-I1oV_STSDYn1IFDPWt_1FKiwhDph83XaGc0o0/edit?usp=sharing"",""งบพรบ!BR36"")"),3360)</f>
        <v>3360</v>
      </c>
      <c r="O137" s="93">
        <f t="shared" ca="1" si="70"/>
        <v>3.4528825403350116</v>
      </c>
      <c r="P137" s="93">
        <f t="shared" ca="1" si="71"/>
        <v>5.4901960784313726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206000</v>
      </c>
      <c r="M138" s="496">
        <f t="shared" ca="1" si="74"/>
        <v>206000</v>
      </c>
      <c r="N138" s="496">
        <f t="shared" ca="1" si="74"/>
        <v>206000</v>
      </c>
      <c r="O138" s="496">
        <f t="shared" ca="1" si="70"/>
        <v>100</v>
      </c>
      <c r="P138" s="49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IFERROR(__xludf.DUMMYFUNCTION("IMPORTRANGE(""https://docs.google.com/spreadsheets/d/1MeEWN-I1oV_STSDYn1IFDPWt_1FKiwhDph83XaGc0o0/edit?usp=sharing"",""งบพรบ!BQ36"")"),206000)</f>
        <v>206000</v>
      </c>
      <c r="N140" s="93">
        <f ca="1">IFERROR(__xludf.DUMMYFUNCTION("IMPORTRANGE(""https://docs.google.com/spreadsheets/d/1MeEWN-I1oV_STSDYn1IFDPWt_1FKiwhDph83XaGc0o0/edit?usp=sharing"",""งบพรบ!BS36"")"),206000)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20</v>
      </c>
      <c r="K142" s="496"/>
      <c r="L142" s="496"/>
      <c r="M142" s="496"/>
      <c r="N142" s="496"/>
      <c r="O142" s="496"/>
      <c r="P142" s="496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20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IFERROR(__xludf.DUMMYFUNCTION("IMPORTRANGE(""https://docs.google.com/spreadsheets/d/1QqKyyYR6Q21VydFLVH3TRQUabQu_ym0Zz7PgGX0-kHA/edit?usp=sharing"",""แผน!U36"")"),10)</f>
        <v>10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IFERROR(__xludf.DUMMYFUNCTION("IMPORTRANGE(""https://docs.google.com/spreadsheets/d/1QqKyyYR6Q21VydFLVH3TRQUabQu_ym0Zz7PgGX0-kHA/edit?usp=sharing"",""แผน!V36"")"),20)</f>
        <v>20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IFERROR(__xludf.DUMMYFUNCTION("IMPORTRANGE(""https://docs.google.com/spreadsheets/d/1QqKyyYR6Q21VydFLVH3TRQUabQu_ym0Zz7PgGX0-kHA/edit?usp=sharing"",""แผน!W36"")"),2)</f>
        <v>2</v>
      </c>
      <c r="J146" s="214">
        <v>2</v>
      </c>
      <c r="K146" s="496">
        <f t="shared" ca="1" si="75"/>
        <v>100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3290</v>
      </c>
      <c r="O149" s="155">
        <f t="shared" ref="O149:O157" ca="1" si="78">IF(L149&gt;0,N149*100/L149,0)</f>
        <v>32.9</v>
      </c>
      <c r="P149" s="155">
        <f t="shared" ref="P149:P157" ca="1" si="79">IF(M149&gt;0,N149*100/M149,0)</f>
        <v>32.9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3290</v>
      </c>
      <c r="O151" s="93">
        <f t="shared" ca="1" si="78"/>
        <v>32.9</v>
      </c>
      <c r="P151" s="93">
        <f t="shared" ca="1" si="79"/>
        <v>32.9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10000</v>
      </c>
      <c r="M152" s="496">
        <f t="shared" ca="1" si="81"/>
        <v>10000</v>
      </c>
      <c r="N152" s="496">
        <f t="shared" ca="1" si="81"/>
        <v>3290</v>
      </c>
      <c r="O152" s="496">
        <f t="shared" ca="1" si="78"/>
        <v>32.9</v>
      </c>
      <c r="P152" s="496">
        <f t="shared" ca="1" si="79"/>
        <v>32.9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IFERROR(__xludf.DUMMYFUNCTION("IMPORTRANGE(""https://docs.google.com/spreadsheets/d/1MeEWN-I1oV_STSDYn1IFDPWt_1FKiwhDph83XaGc0o0/edit?usp=sharing"",""งบพรบ!CB36"")"),3290)</f>
        <v>3290</v>
      </c>
      <c r="O154" s="93">
        <f t="shared" ca="1" si="78"/>
        <v>32.9</v>
      </c>
      <c r="P154" s="93">
        <f t="shared" ca="1" si="79"/>
        <v>32.9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IFERROR(__xludf.DUMMYFUNCTION("IMPORTRANGE(""https://docs.google.com/spreadsheets/d/1QqKyyYR6Q21VydFLVH3TRQUabQu_ym0Zz7PgGX0-kHA/edit?usp=sharing"",""แผน!X36"")"),20)</f>
        <v>20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10</v>
      </c>
      <c r="J164" s="848">
        <f t="shared" si="83"/>
        <v>10</v>
      </c>
      <c r="K164" s="254">
        <f ca="1">IF(I164&gt;0,J164*100/I164,0)</f>
        <v>100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21050</v>
      </c>
      <c r="M165" s="154">
        <f t="shared" ca="1" si="84"/>
        <v>21050</v>
      </c>
      <c r="N165" s="154">
        <f t="shared" ca="1" si="84"/>
        <v>21050</v>
      </c>
      <c r="O165" s="154">
        <f t="shared" ref="O165:O173" ca="1" si="85">IF(L165&gt;0,N165*100/L165,0)</f>
        <v>100</v>
      </c>
      <c r="P165" s="154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21050</v>
      </c>
      <c r="O168" s="496">
        <f t="shared" ca="1" si="85"/>
        <v>100</v>
      </c>
      <c r="P168" s="496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IFERROR(__xludf.DUMMYFUNCTION("IMPORTRANGE(""https://docs.google.com/spreadsheets/d/1MeEWN-I1oV_STSDYn1IFDPWt_1FKiwhDph83XaGc0o0/edit?usp=sharing"",""งบพรบ!CJ36"")"),21050)</f>
        <v>21050</v>
      </c>
      <c r="N170" s="93">
        <f ca="1">IFERROR(__xludf.DUMMYFUNCTION("IMPORTRANGE(""https://docs.google.com/spreadsheets/d/1MeEWN-I1oV_STSDYn1IFDPWt_1FKiwhDph83XaGc0o0/edit?usp=sharing"",""งบพรบ!CL36"")"),21050)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10</v>
      </c>
      <c r="K174" s="261">
        <f ca="1">IF(I174&gt;0,J174*100/I174,0)</f>
        <v>100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IFERROR(__xludf.DUMMYFUNCTION("IMPORTRANGE(""https://docs.google.com/spreadsheets/d/1QqKyyYR6Q21VydFLVH3TRQUabQu_ym0Zz7PgGX0-kHA/edit?usp=sharing"",""แผน!Y36"")"),10)</f>
        <v>10</v>
      </c>
      <c r="J176" s="214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252">
        <f t="shared" ref="I180:J180" ca="1" si="91">I225+I226</f>
        <v>10</v>
      </c>
      <c r="J180" s="252">
        <f t="shared" si="91"/>
        <v>10</v>
      </c>
      <c r="K180" s="253">
        <f ca="1">IF(I180&gt;0,J180*100/I180,0)</f>
        <v>100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2">L182+L183</f>
        <v>583500</v>
      </c>
      <c r="M181" s="154">
        <f t="shared" ca="1" si="92"/>
        <v>290000</v>
      </c>
      <c r="N181" s="154">
        <f t="shared" ca="1" si="92"/>
        <v>86121.75</v>
      </c>
      <c r="O181" s="154">
        <f t="shared" ref="O181:O189" ca="1" si="93">IF(L181&gt;0,N181*100/L181,0)</f>
        <v>14.759511568123393</v>
      </c>
      <c r="P181" s="154">
        <f t="shared" ref="P181:P189" ca="1" si="94">IF(M181&gt;0,N181*100/M181,0)</f>
        <v>29.697155172413794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5"/>
        <v>583500</v>
      </c>
      <c r="M183" s="93">
        <f t="shared" ca="1" si="95"/>
        <v>290000</v>
      </c>
      <c r="N183" s="93">
        <f t="shared" ca="1" si="95"/>
        <v>86121.75</v>
      </c>
      <c r="O183" s="93">
        <f t="shared" ca="1" si="93"/>
        <v>14.759511568123393</v>
      </c>
      <c r="P183" s="93">
        <f t="shared" ca="1" si="94"/>
        <v>29.697155172413794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6">L185+L186</f>
        <v>583500</v>
      </c>
      <c r="M184" s="496">
        <f t="shared" ca="1" si="96"/>
        <v>290000</v>
      </c>
      <c r="N184" s="496">
        <f t="shared" ca="1" si="96"/>
        <v>86121.75</v>
      </c>
      <c r="O184" s="496">
        <f t="shared" ca="1" si="93"/>
        <v>14.759511568123393</v>
      </c>
      <c r="P184" s="496">
        <f t="shared" ca="1" si="94"/>
        <v>29.697155172413794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IFERROR(__xludf.DUMMYFUNCTION("IMPORTRANGE(""https://docs.google.com/spreadsheets/d/1MeEWN-I1oV_STSDYn1IFDPWt_1FKiwhDph83XaGc0o0/edit?usp=sharing"",""งบพรบ!CT36"")"),290000)</f>
        <v>290000</v>
      </c>
      <c r="N186" s="93">
        <f ca="1">IFERROR(__xludf.DUMMYFUNCTION("IMPORTRANGE(""https://docs.google.com/spreadsheets/d/1MeEWN-I1oV_STSDYn1IFDPWt_1FKiwhDph83XaGc0o0/edit?usp=sharing"",""งบพรบ!CV36"")"),86121.75)</f>
        <v>86121.75</v>
      </c>
      <c r="O186" s="93">
        <f t="shared" ca="1" si="93"/>
        <v>14.759511568123393</v>
      </c>
      <c r="P186" s="93">
        <f t="shared" ca="1" si="94"/>
        <v>29.697155172413794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7">L188+L189</f>
        <v>0</v>
      </c>
      <c r="M187" s="496">
        <f t="shared" ca="1" si="97"/>
        <v>0</v>
      </c>
      <c r="N187" s="496">
        <f t="shared" ca="1" si="97"/>
        <v>0</v>
      </c>
      <c r="O187" s="496">
        <f t="shared" ca="1" si="93"/>
        <v>0</v>
      </c>
      <c r="P187" s="496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8">I193</f>
        <v>4</v>
      </c>
      <c r="J190" s="271">
        <f t="shared" si="98"/>
        <v>1</v>
      </c>
      <c r="K190" s="272">
        <f ca="1">IF(I190&gt;0,J190*100/I190,0)</f>
        <v>25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IFERROR(__xludf.DUMMYFUNCTION("IMPORTRANGE(""https://docs.google.com/spreadsheets/d/1QqKyyYR6Q21VydFLVH3TRQUabQu_ym0Zz7PgGX0-kHA/edit?usp=sharing"",""แผน!AC36"")"),4)</f>
        <v>4</v>
      </c>
      <c r="J193" s="214">
        <v>1</v>
      </c>
      <c r="K193" s="496">
        <f ca="1">IF(I193&gt;0,J193*100/I193,0)</f>
        <v>25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126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126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9">I204</f>
        <v>2</v>
      </c>
      <c r="J197" s="271">
        <f t="shared" si="99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26000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IFERROR(__xludf.DUMMYFUNCTION("IMPORTRANGE(""https://docs.google.com/spreadsheets/d/1QqKyyYR6Q21VydFLVH3TRQUabQu_ym0Zz7PgGX0-kHA/edit?usp=sharing"",""แผน!AE36"")"),2000)</f>
        <v>2000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IFERROR(__xludf.DUMMYFUNCTION("IMPORTRANGE(""https://docs.google.com/spreadsheets/d/1QqKyyYR6Q21VydFLVH3TRQUabQu_ym0Zz7PgGX0-kHA/edit?usp=sharing"",""แผน!AF36"")"),16000)</f>
        <v>16000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IFERROR(__xludf.DUMMYFUNCTION("IMPORTRANGE(""https://docs.google.com/spreadsheets/d/1QqKyyYR6Q21VydFLVH3TRQUabQu_ym0Zz7PgGX0-kHA/edit?usp=sharing"",""แผน!AG36"")"),8000)</f>
        <v>8000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IFERROR(__xludf.DUMMYFUNCTION("IMPORTRANGE(""https://docs.google.com/spreadsheets/d/1QqKyyYR6Q21VydFLVH3TRQUabQu_ym0Zz7PgGX0-kHA/edit?usp=sharing"",""แผน!AH36"")"),0)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IFERROR(__xludf.DUMMYFUNCTION("IMPORTRANGE(""https://docs.google.com/spreadsheets/d/1QqKyyYR6Q21VydFLVH3TRQUabQu_ym0Zz7PgGX0-kHA/edit?usp=sharing"",""แผน!AI36"")"),2)</f>
        <v>2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100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100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1">I215</f>
        <v>0</v>
      </c>
      <c r="J208" s="271">
        <f t="shared" si="101"/>
        <v>0</v>
      </c>
      <c r="K208" s="272">
        <f t="shared" ca="1" si="100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IFERROR(__xludf.DUMMYFUNCTION("IMPORTRANGE(""https://docs.google.com/spreadsheets/d/1QqKyyYR6Q21VydFLVH3TRQUabQu_ym0Zz7PgGX0-kHA/edit?usp=sharing"",""แผน!AK36"")"),0)</f>
        <v>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IFERROR(__xludf.DUMMYFUNCTION("IMPORTRANGE(""https://docs.google.com/spreadsheets/d/1QqKyyYR6Q21VydFLVH3TRQUabQu_ym0Zz7PgGX0-kHA/edit?usp=sharing"",""แผน!AL36"")"),0)</f>
        <v>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IFERROR(__xludf.DUMMYFUNCTION("IMPORTRANGE(""https://docs.google.com/spreadsheets/d/1QqKyyYR6Q21VydFLVH3TRQUabQu_ym0Zz7PgGX0-kHA/edit?usp=sharing"",""แผน!AM36"")"),0)</f>
        <v>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IFERROR(__xludf.DUMMYFUNCTION("IMPORTRANGE(""https://docs.google.com/spreadsheets/d/1QqKyyYR6Q21VydFLVH3TRQUabQu_ym0Zz7PgGX0-kHA/edit?usp=sharing"",""แผน!AN36"")"),0)</f>
        <v>0</v>
      </c>
      <c r="J214" s="214">
        <v>0</v>
      </c>
      <c r="K214" s="496">
        <f t="shared" ref="K214:K216" ca="1" si="102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IFERROR(__xludf.DUMMYFUNCTION("IMPORTRANGE(""https://docs.google.com/spreadsheets/d/1QqKyyYR6Q21VydFLVH3TRQUabQu_ym0Zz7PgGX0-kHA/edit?usp=sharing"",""แผน!AN36"")"),0)</f>
        <v>0</v>
      </c>
      <c r="J215" s="214">
        <v>0</v>
      </c>
      <c r="K215" s="496">
        <f t="shared" ca="1" si="102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3">I224</f>
        <v>70000</v>
      </c>
      <c r="J216" s="271">
        <f t="shared" si="103"/>
        <v>0</v>
      </c>
      <c r="K216" s="272">
        <f t="shared" ca="1" si="102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33500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IFERROR(__xludf.DUMMYFUNCTION("IMPORTRANGE(""https://docs.google.com/spreadsheets/d/1QqKyyYR6Q21VydFLVH3TRQUabQu_ym0Zz7PgGX0-kHA/edit?usp=sharing"",""แผน!AP36"")"),5000)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IFERROR(__xludf.DUMMYFUNCTION("IMPORTRANGE(""https://docs.google.com/spreadsheets/d/1QqKyyYR6Q21VydFLVH3TRQUabQu_ym0Zz7PgGX0-kHA/edit?usp=sharing"",""แผน!AQ36"")"),18500)</f>
        <v>18500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IFERROR(__xludf.DUMMYFUNCTION("IMPORTRANGE(""https://docs.google.com/spreadsheets/d/1QqKyyYR6Q21VydFLVH3TRQUabQu_ym0Zz7PgGX0-kHA/edit?usp=sharing"",""แผน!AR36"")"),10000)</f>
        <v>10000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IFERROR(__xludf.DUMMYFUNCTION("IMPORTRANGE(""https://docs.google.com/spreadsheets/d/1QqKyyYR6Q21VydFLVH3TRQUabQu_ym0Zz7PgGX0-kHA/edit?usp=sharing"",""แผน!AT36"")"),70000)</f>
        <v>70000</v>
      </c>
      <c r="J223" s="214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IFERROR(__xludf.DUMMYFUNCTION("IMPORTRANGE(""https://docs.google.com/spreadsheets/d/1QqKyyYR6Q21VydFLVH3TRQUabQu_ym0Zz7PgGX0-kHA/edit?usp=sharing"",""แผน!AT36"")"),70000)</f>
        <v>70000</v>
      </c>
      <c r="J224" s="214">
        <v>0</v>
      </c>
      <c r="K224" s="163">
        <f t="shared" ca="1" si="104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IFERROR(__xludf.DUMMYFUNCTION("IMPORTRANGE(""https://docs.google.com/spreadsheets/d/1QqKyyYR6Q21VydFLVH3TRQUabQu_ym0Zz7PgGX0-kHA/edit?usp=sharing"",""แผน!AS36"")"),10)</f>
        <v>10</v>
      </c>
      <c r="J225" s="214">
        <v>10</v>
      </c>
      <c r="K225" s="163">
        <f t="shared" ca="1" si="104"/>
        <v>100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5">I237+I248</f>
        <v>0</v>
      </c>
      <c r="J226" s="344">
        <f t="shared" si="105"/>
        <v>0</v>
      </c>
      <c r="K226" s="345">
        <f t="shared" ca="1" si="104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6">L238+L249</f>
        <v>0</v>
      </c>
      <c r="M227" s="355"/>
      <c r="N227" s="355">
        <f t="shared" ref="N227:N231" si="107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8">I244+I255</f>
        <v>0</v>
      </c>
      <c r="J233" s="610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9">I246+I257</f>
        <v>0</v>
      </c>
      <c r="J235" s="610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9"/>
        <v>0</v>
      </c>
      <c r="J236" s="610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1">I244</f>
        <v>0</v>
      </c>
      <c r="J237" s="271">
        <f t="shared" si="111"/>
        <v>0</v>
      </c>
      <c r="K237" s="272">
        <f t="shared" ca="1" si="110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IFERROR(__xludf.DUMMYFUNCTION("IMPORTRANGE(""https://docs.google.com/spreadsheets/d/1QqKyyYR6Q21VydFLVH3TRQUabQu_ym0Zz7PgGX0-kHA/edit?usp=sharing"",""แผน!AV36"")"),0)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IFERROR(__xludf.DUMMYFUNCTION("IMPORTRANGE(""https://docs.google.com/spreadsheets/d/1QqKyyYR6Q21VydFLVH3TRQUabQu_ym0Zz7PgGX0-kHA/edit?usp=sharing"",""แผน!AW36"")"),0)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IFERROR(__xludf.DUMMYFUNCTION("IMPORTRANGE(""https://docs.google.com/spreadsheets/d/1QqKyyYR6Q21VydFLVH3TRQUabQu_ym0Zz7PgGX0-kHA/edit?usp=sharing"",""แผน!AX36"")"),0)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IFERROR(__xludf.DUMMYFUNCTION("IMPORTRANGE(""https://docs.google.com/spreadsheets/d/1QqKyyYR6Q21VydFLVH3TRQUabQu_ym0Zz7PgGX0-kHA/edit?usp=sharing"",""แผน!AY36"")"),0)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IFERROR(__xludf.DUMMYFUNCTION("IMPORTRANGE(""https://docs.google.com/spreadsheets/d/1QqKyyYR6Q21VydFLVH3TRQUabQu_ym0Zz7PgGX0-kHA/edit?usp=sharing"",""แผน!BE36"")"),0)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2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2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3">I255</f>
        <v>0</v>
      </c>
      <c r="J248" s="271">
        <f t="shared" si="113"/>
        <v>0</v>
      </c>
      <c r="K248" s="272">
        <f t="shared" ca="1" si="112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IFERROR(__xludf.DUMMYFUNCTION("IMPORTRANGE(""https://docs.google.com/spreadsheets/d/1QqKyyYR6Q21VydFLVH3TRQUabQu_ym0Zz7PgGX0-kHA/edit?usp=sharing"",""แผน!AZ36"")"),0)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IFERROR(__xludf.DUMMYFUNCTION("IMPORTRANGE(""https://docs.google.com/spreadsheets/d/1QqKyyYR6Q21VydFLVH3TRQUabQu_ym0Zz7PgGX0-kHA/edit?usp=sharing"",""แผน!BA36"")"),0)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IFERROR(__xludf.DUMMYFUNCTION("IMPORTRANGE(""https://docs.google.com/spreadsheets/d/1QqKyyYR6Q21VydFLVH3TRQUabQu_ym0Zz7PgGX0-kHA/edit?usp=sharing"",""แผน!BB36"")"),0)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IFERROR(__xludf.DUMMYFUNCTION("IMPORTRANGE(""https://docs.google.com/spreadsheets/d/1QqKyyYR6Q21VydFLVH3TRQUabQu_ym0Zz7PgGX0-kHA/edit?usp=sharing"",""แผน!BC36"")"),0)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IFERROR(__xludf.DUMMYFUNCTION("IMPORTRANGE(""https://docs.google.com/spreadsheets/d/1QqKyyYR6Q21VydFLVH3TRQUabQu_ym0Zz7PgGX0-kHA/edit?usp=sharing"",""แผน!BF36"")"),0)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4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4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5">I271</f>
        <v>24</v>
      </c>
      <c r="J260" s="252">
        <f t="shared" si="115"/>
        <v>24</v>
      </c>
      <c r="K260" s="253">
        <f ca="1">IF(I260&gt;0,J260*100/I260,0)</f>
        <v>100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24520</v>
      </c>
      <c r="O261" s="155">
        <f t="shared" ref="O261:O269" ca="1" si="117">IF(L261&gt;0,N261*100/L261,0)</f>
        <v>85.138888888888886</v>
      </c>
      <c r="P261" s="155">
        <f t="shared" ref="P261:P269" ca="1" si="118">IF(M261&gt;0,N261*100/M261,0)</f>
        <v>95.038759689922486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24520</v>
      </c>
      <c r="O263" s="93">
        <f t="shared" ca="1" si="117"/>
        <v>85.138888888888886</v>
      </c>
      <c r="P263" s="93">
        <f t="shared" ca="1" si="118"/>
        <v>95.038759689922486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20">L265+L266</f>
        <v>28800</v>
      </c>
      <c r="M264" s="496">
        <f t="shared" ca="1" si="120"/>
        <v>25800</v>
      </c>
      <c r="N264" s="496">
        <f t="shared" ca="1" si="120"/>
        <v>24520</v>
      </c>
      <c r="O264" s="496">
        <f t="shared" ca="1" si="117"/>
        <v>85.138888888888886</v>
      </c>
      <c r="P264" s="496">
        <f t="shared" ca="1" si="118"/>
        <v>95.038759689922486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IFERROR(__xludf.DUMMYFUNCTION("IMPORTRANGE(""https://docs.google.com/spreadsheets/d/1MeEWN-I1oV_STSDYn1IFDPWt_1FKiwhDph83XaGc0o0/edit?usp=sharing"",""งบพรบ!DD36"")"),25800)</f>
        <v>25800</v>
      </c>
      <c r="N266" s="93">
        <f ca="1">IFERROR(__xludf.DUMMYFUNCTION("IMPORTRANGE(""https://docs.google.com/spreadsheets/d/1MeEWN-I1oV_STSDYn1IFDPWt_1FKiwhDph83XaGc0o0/edit?usp=sharing"",""งบพรบ!DF36"")"),24520)</f>
        <v>24520</v>
      </c>
      <c r="O266" s="93">
        <f t="shared" ca="1" si="117"/>
        <v>85.138888888888886</v>
      </c>
      <c r="P266" s="93">
        <f t="shared" ca="1" si="118"/>
        <v>95.038759689922486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1">L268+L269</f>
        <v>0</v>
      </c>
      <c r="M267" s="496">
        <f t="shared" ca="1" si="121"/>
        <v>0</v>
      </c>
      <c r="N267" s="496">
        <f t="shared" ca="1" si="121"/>
        <v>0</v>
      </c>
      <c r="O267" s="496">
        <f t="shared" ca="1" si="117"/>
        <v>0</v>
      </c>
      <c r="P267" s="496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IFERROR(__xludf.DUMMYFUNCTION("IMPORTRANGE(""https://docs.google.com/spreadsheets/d/1QqKyyYR6Q21VydFLVH3TRQUabQu_ym0Zz7PgGX0-kHA/edit?usp=sharing"",""แผน!EA36"")"),24)</f>
        <v>24</v>
      </c>
      <c r="J271" s="214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2">I288</f>
        <v>40</v>
      </c>
      <c r="J275" s="405">
        <f t="shared" ca="1" si="122"/>
        <v>0</v>
      </c>
      <c r="K275" s="406">
        <f t="shared" ref="K275:K276" ca="1" si="123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24">I287</f>
        <v>400</v>
      </c>
      <c r="J276" s="405">
        <f t="shared" si="124"/>
        <v>0</v>
      </c>
      <c r="K276" s="406">
        <f t="shared" ca="1" si="123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5">L278+L279</f>
        <v>147030</v>
      </c>
      <c r="M277" s="155">
        <f t="shared" ca="1" si="125"/>
        <v>61280</v>
      </c>
      <c r="N277" s="155">
        <f t="shared" ca="1" si="125"/>
        <v>22200</v>
      </c>
      <c r="O277" s="155">
        <f t="shared" ref="O277:O285" ca="1" si="126">IF(L277&gt;0,N277*100/L277,0)</f>
        <v>15.098959396041623</v>
      </c>
      <c r="P277" s="155">
        <f t="shared" ref="P277:P285" ca="1" si="127">IF(M277&gt;0,N277*100/M277,0)</f>
        <v>36.227154046997391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8"/>
        <v>147030</v>
      </c>
      <c r="M279" s="93">
        <f t="shared" ca="1" si="128"/>
        <v>61280</v>
      </c>
      <c r="N279" s="93">
        <f t="shared" ca="1" si="128"/>
        <v>22200</v>
      </c>
      <c r="O279" s="93">
        <f t="shared" ca="1" si="126"/>
        <v>15.098959396041623</v>
      </c>
      <c r="P279" s="93">
        <f t="shared" ca="1" si="127"/>
        <v>36.227154046997391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9">L281+L282</f>
        <v>147030</v>
      </c>
      <c r="M280" s="496">
        <f t="shared" ca="1" si="129"/>
        <v>61280</v>
      </c>
      <c r="N280" s="496">
        <f t="shared" ca="1" si="129"/>
        <v>22200</v>
      </c>
      <c r="O280" s="496">
        <f t="shared" ca="1" si="126"/>
        <v>15.098959396041623</v>
      </c>
      <c r="P280" s="496">
        <f t="shared" ca="1" si="127"/>
        <v>36.227154046997391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IFERROR(__xludf.DUMMYFUNCTION("IMPORTRANGE(""https://docs.google.com/spreadsheets/d/1MeEWN-I1oV_STSDYn1IFDPWt_1FKiwhDph83XaGc0o0/edit?usp=sharing"",""งบพรบ!DN36"")"),61280)</f>
        <v>61280</v>
      </c>
      <c r="N282" s="93">
        <f ca="1">IFERROR(__xludf.DUMMYFUNCTION("IMPORTRANGE(""https://docs.google.com/spreadsheets/d/1MeEWN-I1oV_STSDYn1IFDPWt_1FKiwhDph83XaGc0o0/edit?usp=sharing"",""งบพรบ!DP36"")"),22200)</f>
        <v>22200</v>
      </c>
      <c r="O282" s="93">
        <f t="shared" ca="1" si="126"/>
        <v>15.098959396041623</v>
      </c>
      <c r="P282" s="93">
        <f t="shared" ca="1" si="127"/>
        <v>36.227154046997391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30">L284+L285</f>
        <v>0</v>
      </c>
      <c r="M283" s="496">
        <f t="shared" ca="1" si="130"/>
        <v>0</v>
      </c>
      <c r="N283" s="496">
        <f t="shared" ca="1" si="130"/>
        <v>0</v>
      </c>
      <c r="O283" s="496">
        <f t="shared" ca="1" si="126"/>
        <v>0</v>
      </c>
      <c r="P283" s="496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IFERROR(__xludf.DUMMYFUNCTION("IMPORTRANGE(""https://docs.google.com/spreadsheets/d/1QqKyyYR6Q21VydFLVH3TRQUabQu_ym0Zz7PgGX0-kHA/edit?usp=sharing"",""แผน!EC36"")"),400)</f>
        <v>400</v>
      </c>
      <c r="J287" s="214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IFERROR(__xludf.DUMMYFUNCTION("IMPORTRANGE(""https://docs.google.com/spreadsheets/d/1QqKyyYR6Q21VydFLVH3TRQUabQu_ym0Zz7PgGX0-kHA/edit?usp=sharing"",""แผน!EB36"")"),40)</f>
        <v>40</v>
      </c>
      <c r="J288" s="674">
        <f ca="1">IF(AND(J291&gt;=I288,J294&gt;=I288),J294,0)</f>
        <v>0</v>
      </c>
      <c r="K288" s="410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4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4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4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IFERROR(__xludf.DUMMYFUNCTION("IMPORTRANGE(""https://docs.google.com/spreadsheets/d/1QqKyyYR6Q21VydFLVH3TRQUabQu_ym0Zz7PgGX0-kHA/edit?usp=sharing"",""แผน!EB36"")"),40)</f>
        <v>40</v>
      </c>
      <c r="J294" s="423">
        <v>0</v>
      </c>
      <c r="K294" s="384">
        <f t="shared" ca="1" si="133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4">I309</f>
        <v>25</v>
      </c>
      <c r="J297" s="443">
        <f t="shared" si="134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5">L299+L300</f>
        <v>101000</v>
      </c>
      <c r="M298" s="155">
        <f t="shared" ca="1" si="135"/>
        <v>60400</v>
      </c>
      <c r="N298" s="155">
        <f t="shared" ca="1" si="135"/>
        <v>21460</v>
      </c>
      <c r="O298" s="155">
        <f t="shared" ref="O298:O306" ca="1" si="136">IF(L298&gt;0,N298*100/L298,0)</f>
        <v>21.247524752475247</v>
      </c>
      <c r="P298" s="155">
        <f t="shared" ref="P298:P306" ca="1" si="137">IF(M298&gt;0,N298*100/M298,0)</f>
        <v>35.52980132450331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8"/>
        <v>101000</v>
      </c>
      <c r="M300" s="93">
        <f t="shared" ca="1" si="138"/>
        <v>60400</v>
      </c>
      <c r="N300" s="93">
        <f t="shared" ca="1" si="138"/>
        <v>21460</v>
      </c>
      <c r="O300" s="93">
        <f t="shared" ca="1" si="136"/>
        <v>21.247524752475247</v>
      </c>
      <c r="P300" s="93">
        <f t="shared" ca="1" si="137"/>
        <v>35.52980132450331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9">L302+L303</f>
        <v>101000</v>
      </c>
      <c r="M301" s="496">
        <f t="shared" ca="1" si="139"/>
        <v>60400</v>
      </c>
      <c r="N301" s="496">
        <f t="shared" ca="1" si="139"/>
        <v>21460</v>
      </c>
      <c r="O301" s="496">
        <f t="shared" ca="1" si="136"/>
        <v>21.247524752475247</v>
      </c>
      <c r="P301" s="496">
        <f t="shared" ca="1" si="137"/>
        <v>35.52980132450331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IFERROR(__xludf.DUMMYFUNCTION("IMPORTRANGE(""https://docs.google.com/spreadsheets/d/1MeEWN-I1oV_STSDYn1IFDPWt_1FKiwhDph83XaGc0o0/edit?usp=sharing"",""งบพรบ!DX36"")"),60400)</f>
        <v>60400</v>
      </c>
      <c r="N303" s="93">
        <f ca="1">IFERROR(__xludf.DUMMYFUNCTION("IMPORTRANGE(""https://docs.google.com/spreadsheets/d/1MeEWN-I1oV_STSDYn1IFDPWt_1FKiwhDph83XaGc0o0/edit?usp=sharing"",""งบพรบ!DZ36"")"),21460)</f>
        <v>21460</v>
      </c>
      <c r="O303" s="93">
        <f t="shared" ca="1" si="136"/>
        <v>21.247524752475247</v>
      </c>
      <c r="P303" s="93">
        <f t="shared" ca="1" si="137"/>
        <v>35.52980132450331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40">L305+L306</f>
        <v>0</v>
      </c>
      <c r="M304" s="496">
        <f t="shared" ca="1" si="140"/>
        <v>0</v>
      </c>
      <c r="N304" s="496">
        <f t="shared" ca="1" si="140"/>
        <v>0</v>
      </c>
      <c r="O304" s="496">
        <f t="shared" ca="1" si="136"/>
        <v>0</v>
      </c>
      <c r="P304" s="496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1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IFERROR(__xludf.DUMMYFUNCTION("IMPORTRANGE(""https://docs.google.com/spreadsheets/d/1QqKyyYR6Q21VydFLVH3TRQUabQu_ym0Zz7PgGX0-kHA/edit?usp=sharing"",""แผน!ED36"")"),25)</f>
        <v>25</v>
      </c>
      <c r="J309" s="214">
        <v>0</v>
      </c>
      <c r="K309" s="496">
        <f t="shared" ref="K309:K312" ca="1" si="141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IFERROR(__xludf.DUMMYFUNCTION("IMPORTRANGE(""https://docs.google.com/spreadsheets/d/1QqKyyYR6Q21VydFLVH3TRQUabQu_ym0Zz7PgGX0-kHA/edit?usp=sharing"",""แผน!ED36"")"),25)</f>
        <v>25</v>
      </c>
      <c r="J310" s="214">
        <v>0</v>
      </c>
      <c r="K310" s="496">
        <f t="shared" ca="1" si="141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IFERROR(__xludf.DUMMYFUNCTION("IMPORTRANGE(""https://docs.google.com/spreadsheets/d/1QqKyyYR6Q21VydFLVH3TRQUabQu_ym0Zz7PgGX0-kHA/edit?usp=sharing"",""แผน!ED36"")"),25)</f>
        <v>25</v>
      </c>
      <c r="J311" s="214">
        <v>0</v>
      </c>
      <c r="K311" s="496">
        <f t="shared" ca="1" si="141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IFERROR(__xludf.DUMMYFUNCTION("IMPORTRANGE(""https://docs.google.com/spreadsheets/d/1QqKyyYR6Q21VydFLVH3TRQUabQu_ym0Zz7PgGX0-kHA/edit?usp=sharing"",""แผน!EE36"")"),5)</f>
        <v>5</v>
      </c>
      <c r="J312" s="214">
        <v>0</v>
      </c>
      <c r="K312" s="496">
        <f t="shared" ca="1" si="141"/>
        <v>0</v>
      </c>
      <c r="L312" s="496"/>
      <c r="M312" s="496"/>
      <c r="N312" s="496"/>
      <c r="O312" s="496"/>
      <c r="P312" s="496"/>
    </row>
    <row r="313" spans="1:26" ht="19.5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2">I325</f>
        <v>2</v>
      </c>
      <c r="J314" s="443">
        <f t="shared" si="142"/>
        <v>2</v>
      </c>
      <c r="K314" s="444">
        <f ca="1">IF(I314&gt;0,J314*100/I314,0)</f>
        <v>100</v>
      </c>
      <c r="L314" s="445"/>
      <c r="M314" s="445"/>
      <c r="N314" s="445"/>
      <c r="O314" s="445"/>
      <c r="P314" s="445"/>
    </row>
    <row r="315" spans="1:26" ht="19.5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3">L316+L317</f>
        <v>439000</v>
      </c>
      <c r="M315" s="155">
        <f t="shared" ca="1" si="143"/>
        <v>206500</v>
      </c>
      <c r="N315" s="155">
        <f t="shared" ca="1" si="143"/>
        <v>66053.14</v>
      </c>
      <c r="O315" s="155">
        <f t="shared" ref="O315:O323" ca="1" si="144">IF(L315&gt;0,N315*100/L315,0)</f>
        <v>15.046273348519362</v>
      </c>
      <c r="P315" s="155">
        <f t="shared" ref="P315:P323" ca="1" si="145">IF(M315&gt;0,N315*100/M315,0)</f>
        <v>31.986992736077482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6"/>
        <v>439000</v>
      </c>
      <c r="M317" s="93">
        <f t="shared" ca="1" si="146"/>
        <v>206500</v>
      </c>
      <c r="N317" s="93">
        <f t="shared" ca="1" si="146"/>
        <v>66053.14</v>
      </c>
      <c r="O317" s="93">
        <f t="shared" ca="1" si="144"/>
        <v>15.046273348519362</v>
      </c>
      <c r="P317" s="93">
        <f t="shared" ca="1" si="145"/>
        <v>31.986992736077482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7">L319+L320</f>
        <v>439000</v>
      </c>
      <c r="M318" s="496">
        <f t="shared" ca="1" si="147"/>
        <v>206500</v>
      </c>
      <c r="N318" s="496">
        <f t="shared" ca="1" si="147"/>
        <v>66053.14</v>
      </c>
      <c r="O318" s="496">
        <f t="shared" ca="1" si="144"/>
        <v>15.046273348519362</v>
      </c>
      <c r="P318" s="496">
        <f t="shared" ca="1" si="145"/>
        <v>31.986992736077482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IFERROR(__xludf.DUMMYFUNCTION("IMPORTRANGE(""https://docs.google.com/spreadsheets/d/1MeEWN-I1oV_STSDYn1IFDPWt_1FKiwhDph83XaGc0o0/edit?usp=sharing"",""งบพรบ!EH36"")"),206500)</f>
        <v>206500</v>
      </c>
      <c r="N320" s="93">
        <f ca="1">IFERROR(__xludf.DUMMYFUNCTION("IMPORTRANGE(""https://docs.google.com/spreadsheets/d/1MeEWN-I1oV_STSDYn1IFDPWt_1FKiwhDph83XaGc0o0/edit?usp=sharing"",""งบพรบ!EJ36"")"),66053.14)</f>
        <v>66053.14</v>
      </c>
      <c r="O320" s="93">
        <f t="shared" ca="1" si="144"/>
        <v>15.046273348519362</v>
      </c>
      <c r="P320" s="93">
        <f t="shared" ca="1" si="145"/>
        <v>31.986992736077482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8">L322+L323</f>
        <v>0</v>
      </c>
      <c r="M321" s="496">
        <f t="shared" ca="1" si="148"/>
        <v>0</v>
      </c>
      <c r="N321" s="496">
        <f t="shared" ca="1" si="148"/>
        <v>0</v>
      </c>
      <c r="O321" s="496">
        <f t="shared" ca="1" si="144"/>
        <v>0</v>
      </c>
      <c r="P321" s="496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IFERROR(__xludf.DUMMYFUNCTION("IMPORTRANGE(""https://docs.google.com/spreadsheets/d/1QqKyyYR6Q21VydFLVH3TRQUabQu_ym0Zz7PgGX0-kHA/edit?usp=sharing"",""แผน!EF36"")"),2)</f>
        <v>2</v>
      </c>
      <c r="J325" s="214">
        <v>2</v>
      </c>
      <c r="K325" s="496">
        <f ca="1">IF(I325&gt;0,J325*100/I325,0)</f>
        <v>100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IFERROR(__xludf.DUMMYFUNCTION("IMPORTRANGE(""https://docs.google.com/spreadsheets/d/1QqKyyYR6Q21VydFLVH3TRQUabQu_ym0Zz7PgGX0-kHA/edit?usp=sharing"",""แผน!EG36"")"),8620)</f>
        <v>8620</v>
      </c>
      <c r="J327" s="443">
        <f ca="1">J338+J341+J342+J343</f>
        <v>2407</v>
      </c>
      <c r="K327" s="444">
        <f ca="1">IF(I327&gt;0,J327*100/I327,0)</f>
        <v>27.923433874709978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9">L329+L330</f>
        <v>198000</v>
      </c>
      <c r="M328" s="155">
        <f t="shared" ca="1" si="149"/>
        <v>99000</v>
      </c>
      <c r="N328" s="155">
        <f t="shared" ca="1" si="149"/>
        <v>21331</v>
      </c>
      <c r="O328" s="155">
        <f t="shared" ref="O328:O336" ca="1" si="150">IF(L328&gt;0,N328*100/L328,0)</f>
        <v>10.773232323232323</v>
      </c>
      <c r="P328" s="155">
        <f t="shared" ref="P328:P336" ca="1" si="151">IF(M328&gt;0,N328*100/M328,0)</f>
        <v>21.546464646464646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2"/>
        <v>198000</v>
      </c>
      <c r="M330" s="93">
        <f t="shared" ca="1" si="152"/>
        <v>99000</v>
      </c>
      <c r="N330" s="93">
        <f t="shared" ca="1" si="152"/>
        <v>21331</v>
      </c>
      <c r="O330" s="93">
        <f t="shared" ca="1" si="150"/>
        <v>10.773232323232323</v>
      </c>
      <c r="P330" s="93">
        <f t="shared" ca="1" si="151"/>
        <v>21.546464646464646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3">L332+L333</f>
        <v>198000</v>
      </c>
      <c r="M331" s="496">
        <f t="shared" ca="1" si="153"/>
        <v>99000</v>
      </c>
      <c r="N331" s="496">
        <f t="shared" ca="1" si="153"/>
        <v>21331</v>
      </c>
      <c r="O331" s="496">
        <f t="shared" ca="1" si="150"/>
        <v>10.773232323232323</v>
      </c>
      <c r="P331" s="496">
        <f t="shared" ca="1" si="151"/>
        <v>21.546464646464646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IFERROR(__xludf.DUMMYFUNCTION("IMPORTRANGE(""https://docs.google.com/spreadsheets/d/1MeEWN-I1oV_STSDYn1IFDPWt_1FKiwhDph83XaGc0o0/edit?usp=sharing"",""งบพรบ!ER36"")"),99000)</f>
        <v>99000</v>
      </c>
      <c r="N333" s="93">
        <f ca="1">IFERROR(__xludf.DUMMYFUNCTION("IMPORTRANGE(""https://docs.google.com/spreadsheets/d/1MeEWN-I1oV_STSDYn1IFDPWt_1FKiwhDph83XaGc0o0/edit?usp=sharing"",""งบพรบ!ET36"")"),21331)</f>
        <v>21331</v>
      </c>
      <c r="O333" s="93">
        <f t="shared" ca="1" si="150"/>
        <v>10.773232323232323</v>
      </c>
      <c r="P333" s="93">
        <f t="shared" ca="1" si="151"/>
        <v>21.546464646464646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4">L335+L336</f>
        <v>0</v>
      </c>
      <c r="M334" s="496">
        <f t="shared" ca="1" si="154"/>
        <v>0</v>
      </c>
      <c r="N334" s="496">
        <f t="shared" ca="1" si="154"/>
        <v>0</v>
      </c>
      <c r="O334" s="496">
        <f t="shared" ca="1" si="150"/>
        <v>0</v>
      </c>
      <c r="P334" s="496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IFERROR(__xludf.DUMMYFUNCTION("IMPORTRANGE(""https://docs.google.com/spreadsheets/d/1QqKyyYR6Q21VydFLVH3TRQUabQu_ym0Zz7PgGX0-kHA/edit?usp=sharing"",""แผน!EG36"")"),8620)</f>
        <v>8620</v>
      </c>
      <c r="J338" s="269">
        <f ca="1">IFERROR(__xludf.DUMMYFUNCTION("IMPORTRANGE(""https://docs.google.com/spreadsheets/d/1kVcqe37tkHyjCSG3S0O1AXqVkqjo8mSIZil3BcpIysc/edit?usp=sharing"",""ศูนย์!D36"")"),2149)</f>
        <v>2149</v>
      </c>
      <c r="K338" s="496">
        <f ca="1">IF(I338&gt;0,J338*100/I338,0)</f>
        <v>24.930394431554525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IFERROR(__xludf.DUMMYFUNCTION("IMPORTRANGE(""https://docs.google.com/spreadsheets/d/1QqKyyYR6Q21VydFLVH3TRQUabQu_ym0Zz7PgGX0-kHA/edit?usp=sharing"",""แผน!EH36"")"),15)</f>
        <v>15</v>
      </c>
      <c r="J340" s="269">
        <f ca="1">IFERROR(__xludf.DUMMYFUNCTION("IMPORTRANGE(""https://docs.google.com/spreadsheets/d/1kVcqe37tkHyjCSG3S0O1AXqVkqjo8mSIZil3BcpIysc/edit?usp=sharing"",""ศูนย์!E36"")"),3)</f>
        <v>3</v>
      </c>
      <c r="K340" s="496">
        <f ca="1">IF(I340&gt;0,J340*100/I340,0)</f>
        <v>20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IFERROR(__xludf.DUMMYFUNCTION("IMPORTRANGE(""https://docs.google.com/spreadsheets/d/1kVcqe37tkHyjCSG3S0O1AXqVkqjo8mSIZil3BcpIysc/edit?usp=sharing"",""ศูนย์!F36"")"),252)</f>
        <v>252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IFERROR(__xludf.DUMMYFUNCTION("IMPORTRANGE(""https://docs.google.com/spreadsheets/d/1kVcqe37tkHyjCSG3S0O1AXqVkqjo8mSIZil3BcpIysc/edit?usp=sharing"",""ศูนย์!G36"")"),0)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IFERROR(__xludf.DUMMYFUNCTION("IMPORTRANGE(""https://docs.google.com/spreadsheets/d/1kVcqe37tkHyjCSG3S0O1AXqVkqjo8mSIZil3BcpIysc/edit?usp=sharing"",""ศูนย์!H36"")"),6)</f>
        <v>6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5">L346+L347</f>
        <v>2798010</v>
      </c>
      <c r="M345" s="155">
        <f t="shared" ca="1" si="155"/>
        <v>1478210</v>
      </c>
      <c r="N345" s="155">
        <f t="shared" ca="1" si="155"/>
        <v>369784.92000000004</v>
      </c>
      <c r="O345" s="155">
        <f t="shared" ref="O345:O353" ca="1" si="156">IF(L345&gt;0,N345*100/L345,0)</f>
        <v>13.215997083641591</v>
      </c>
      <c r="P345" s="155">
        <f t="shared" ref="P345:P353" ca="1" si="157">IF(M345&gt;0,N345*100/M345,0)</f>
        <v>25.015723070470372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8"/>
        <v>2798010</v>
      </c>
      <c r="M347" s="93">
        <f t="shared" ca="1" si="158"/>
        <v>1478210</v>
      </c>
      <c r="N347" s="93">
        <f t="shared" ca="1" si="158"/>
        <v>369784.92000000004</v>
      </c>
      <c r="O347" s="93">
        <f t="shared" ca="1" si="156"/>
        <v>13.215997083641591</v>
      </c>
      <c r="P347" s="93">
        <f t="shared" ca="1" si="157"/>
        <v>25.015723070470372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9">L349+L350</f>
        <v>2639610</v>
      </c>
      <c r="M348" s="496">
        <f t="shared" ca="1" si="159"/>
        <v>1319810</v>
      </c>
      <c r="N348" s="496">
        <f t="shared" ca="1" si="159"/>
        <v>211384.92</v>
      </c>
      <c r="O348" s="496">
        <f t="shared" ca="1" si="156"/>
        <v>8.0081875731642178</v>
      </c>
      <c r="P348" s="496">
        <f t="shared" ca="1" si="157"/>
        <v>16.016314469506973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IFERROR(__xludf.DUMMYFUNCTION("IMPORTRANGE(""https://docs.google.com/spreadsheets/d/1MeEWN-I1oV_STSDYn1IFDPWt_1FKiwhDph83XaGc0o0/edit?usp=sharing"",""งบพรบ!FB36"")"),1319810)</f>
        <v>1319810</v>
      </c>
      <c r="N350" s="93">
        <f ca="1">IFERROR(__xludf.DUMMYFUNCTION("IMPORTRANGE(""https://docs.google.com/spreadsheets/d/1MeEWN-I1oV_STSDYn1IFDPWt_1FKiwhDph83XaGc0o0/edit?usp=sharing"",""งบพรบ!FD36"")"),211384.92)</f>
        <v>211384.92</v>
      </c>
      <c r="O350" s="93">
        <f t="shared" ca="1" si="156"/>
        <v>8.0081875731642178</v>
      </c>
      <c r="P350" s="93">
        <f t="shared" ca="1" si="157"/>
        <v>16.016314469506973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60">L352+L353</f>
        <v>158400</v>
      </c>
      <c r="M351" s="496">
        <f t="shared" ca="1" si="160"/>
        <v>158400</v>
      </c>
      <c r="N351" s="496">
        <f t="shared" ca="1" si="160"/>
        <v>158400</v>
      </c>
      <c r="O351" s="496">
        <f t="shared" ca="1" si="156"/>
        <v>100</v>
      </c>
      <c r="P351" s="496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IFERROR(__xludf.DUMMYFUNCTION("IMPORTRANGE(""https://docs.google.com/spreadsheets/d/1QqKyyYR6Q21VydFLVH3TRQUabQu_ym0Zz7PgGX0-kHA/edit?usp=sharing"",""แผน!EP36"")"),2000)</f>
        <v>2000</v>
      </c>
      <c r="J355" s="463">
        <f ca="1">J362</f>
        <v>4</v>
      </c>
      <c r="K355" s="464">
        <f ca="1">IF(I355&gt;0,J355*100/I355,0)</f>
        <v>0.2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IFERROR(__xludf.DUMMYFUNCTION("IMPORTRANGE(""https://docs.google.com/spreadsheets/d/1XWAQStnk-4SwqDmLtmXYiTMKHgktTP8We1SCoS47DrQ/edit?usp=sharing"",""จัดที่ดิน!W36"")"),56)</f>
        <v>56</v>
      </c>
      <c r="K358" s="496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IFERROR(__xludf.DUMMYFUNCTION("IMPORTRANGE(""https://docs.google.com/spreadsheets/d/1QqKyyYR6Q21VydFLVH3TRQUabQu_ym0Zz7PgGX0-kHA/edit?usp=sharing"",""แผน!EO36"")"),20000)</f>
        <v>20000</v>
      </c>
      <c r="J359" s="269">
        <f ca="1">IFERROR(__xludf.DUMMYFUNCTION("IMPORTRANGE(""https://docs.google.com/spreadsheets/d/1XWAQStnk-4SwqDmLtmXYiTMKHgktTP8We1SCoS47DrQ/edit?usp=sharing"",""จัดที่ดิน!X36"")"),413.1)</f>
        <v>413.1</v>
      </c>
      <c r="K359" s="496">
        <f t="shared" ca="1" si="161"/>
        <v>2.0655000000000001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IFERROR(__xludf.DUMMYFUNCTION("IMPORTRANGE(""https://docs.google.com/spreadsheets/d/1QqKyyYR6Q21VydFLVH3TRQUabQu_ym0Zz7PgGX0-kHA/edit?usp=sharing"",""แผน!EP36"")"),2000)</f>
        <v>2000</v>
      </c>
      <c r="J360" s="269">
        <f ca="1">IFERROR(__xludf.DUMMYFUNCTION("IMPORTRANGE(""https://docs.google.com/spreadsheets/d/1XWAQStnk-4SwqDmLtmXYiTMKHgktTP8We1SCoS47DrQ/edit?usp=sharing"",""จัดที่ดิน!Y36"")"),152)</f>
        <v>152</v>
      </c>
      <c r="K360" s="496">
        <f t="shared" ca="1" si="161"/>
        <v>7.6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IFERROR(__xludf.DUMMYFUNCTION("IMPORTRANGE(""https://docs.google.com/spreadsheets/d/1XWAQStnk-4SwqDmLtmXYiTMKHgktTP8We1SCoS47DrQ/edit?usp=sharing"",""จัดที่ดิน!Z36"")"),1952.55)</f>
        <v>1952.55</v>
      </c>
      <c r="K361" s="496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IFERROR(__xludf.DUMMYFUNCTION("IMPORTRANGE(""https://docs.google.com/spreadsheets/d/1QqKyyYR6Q21VydFLVH3TRQUabQu_ym0Zz7PgGX0-kHA/edit?usp=sharing"",""แผน!EP36"")"),2000)</f>
        <v>2000</v>
      </c>
      <c r="J362" s="269">
        <f ca="1">IFERROR(__xludf.DUMMYFUNCTION("IMPORTRANGE(""https://docs.google.com/spreadsheets/d/1XWAQStnk-4SwqDmLtmXYiTMKHgktTP8We1SCoS47DrQ/edit?usp=sharing"",""จัดที่ดิน!AA36"")"),4)</f>
        <v>4</v>
      </c>
      <c r="K362" s="496">
        <f t="shared" ca="1" si="161"/>
        <v>0.2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IFERROR(__xludf.DUMMYFUNCTION("IMPORTRANGE(""https://docs.google.com/spreadsheets/d/1XWAQStnk-4SwqDmLtmXYiTMKHgktTP8We1SCoS47DrQ/edit?usp=sharing"",""จัดที่ดิน!AB36"")"),26.86)</f>
        <v>26.86</v>
      </c>
      <c r="K363" s="496">
        <f t="shared" si="161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2">I365+I374</f>
        <v>3000</v>
      </c>
      <c r="J364" s="477">
        <f t="shared" ca="1" si="162"/>
        <v>552</v>
      </c>
      <c r="K364" s="478">
        <f t="shared" ca="1" si="161"/>
        <v>18.399999999999999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IFERROR(__xludf.DUMMYFUNCTION("IMPORTRANGE(""https://docs.google.com/spreadsheets/d/1QqKyyYR6Q21VydFLVH3TRQUabQu_ym0Zz7PgGX0-kHA/edit?usp=sharing"",""แผน!EJ36"")"),1500)</f>
        <v>1500</v>
      </c>
      <c r="J365" s="489">
        <f ca="1">J372</f>
        <v>4</v>
      </c>
      <c r="K365" s="490">
        <f t="shared" ca="1" si="161"/>
        <v>0.26666666666666666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IFERROR(__xludf.DUMMYFUNCTION("IMPORTRANGE(""https://docs.google.com/spreadsheets/d/1XWAQStnk-4SwqDmLtmXYiTMKHgktTP8We1SCoS47DrQ/edit?usp=sharing"",""จัดที่ดิน!E36"")"),56)</f>
        <v>56</v>
      </c>
      <c r="K368" s="496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IFERROR(__xludf.DUMMYFUNCTION("IMPORTRANGE(""https://docs.google.com/spreadsheets/d/1QqKyyYR6Q21VydFLVH3TRQUabQu_ym0Zz7PgGX0-kHA/edit?usp=sharing"",""แผน!EI36"")"),15000)</f>
        <v>15000</v>
      </c>
      <c r="J369" s="269">
        <f ca="1">IFERROR(__xludf.DUMMYFUNCTION("IMPORTRANGE(""https://docs.google.com/spreadsheets/d/1XWAQStnk-4SwqDmLtmXYiTMKHgktTP8We1SCoS47DrQ/edit?usp=sharing"",""จัดที่ดิน!F36"")"),413.1)</f>
        <v>413.1</v>
      </c>
      <c r="K369" s="496">
        <f t="shared" ca="1" si="163"/>
        <v>2.754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IFERROR(__xludf.DUMMYFUNCTION("IMPORTRANGE(""https://docs.google.com/spreadsheets/d/1QqKyyYR6Q21VydFLVH3TRQUabQu_ym0Zz7PgGX0-kHA/edit?usp=sharing"",""แผน!EJ36"")"),1500)</f>
        <v>1500</v>
      </c>
      <c r="J370" s="269">
        <f ca="1">IFERROR(__xludf.DUMMYFUNCTION("IMPORTRANGE(""https://docs.google.com/spreadsheets/d/1XWAQStnk-4SwqDmLtmXYiTMKHgktTP8We1SCoS47DrQ/edit?usp=sharing"",""จัดที่ดิน!G36"")"),148)</f>
        <v>148</v>
      </c>
      <c r="K370" s="496">
        <f t="shared" ca="1" si="163"/>
        <v>9.8666666666666671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IFERROR(__xludf.DUMMYFUNCTION("IMPORTRANGE(""https://docs.google.com/spreadsheets/d/1XWAQStnk-4SwqDmLtmXYiTMKHgktTP8We1SCoS47DrQ/edit?usp=sharing"",""จัดที่ดิน!H36"")"),1865.74)</f>
        <v>1865.74</v>
      </c>
      <c r="K371" s="496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IFERROR(__xludf.DUMMYFUNCTION("IMPORTRANGE(""https://docs.google.com/spreadsheets/d/1QqKyyYR6Q21VydFLVH3TRQUabQu_ym0Zz7PgGX0-kHA/edit?usp=sharing"",""แผน!EJ36"")"),1500)</f>
        <v>1500</v>
      </c>
      <c r="J372" s="269">
        <f ca="1">IFERROR(__xludf.DUMMYFUNCTION("IMPORTRANGE(""https://docs.google.com/spreadsheets/d/1XWAQStnk-4SwqDmLtmXYiTMKHgktTP8We1SCoS47DrQ/edit?usp=sharing"",""จัดที่ดิน!I36"")"),4)</f>
        <v>4</v>
      </c>
      <c r="K372" s="496">
        <f t="shared" ca="1" si="163"/>
        <v>0.26666666666666666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IFERROR(__xludf.DUMMYFUNCTION("IMPORTRANGE(""https://docs.google.com/spreadsheets/d/1XWAQStnk-4SwqDmLtmXYiTMKHgktTP8We1SCoS47DrQ/edit?usp=sharing"",""จัดที่ดิน!J36"")"),26.86)</f>
        <v>26.86</v>
      </c>
      <c r="K373" s="496">
        <f t="shared" si="163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IFERROR(__xludf.DUMMYFUNCTION("IMPORTRANGE(""https://docs.google.com/spreadsheets/d/1QqKyyYR6Q21VydFLVH3TRQUabQu_ym0Zz7PgGX0-kHA/edit?usp=sharing"",""แผน!EU36"")"),1500)</f>
        <v>1500</v>
      </c>
      <c r="J374" s="489">
        <f ca="1">J381</f>
        <v>548</v>
      </c>
      <c r="K374" s="490">
        <f t="shared" ca="1" si="163"/>
        <v>36.533333333333331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IFERROR(__xludf.DUMMYFUNCTION("IMPORTRANGE(""https://docs.google.com/spreadsheets/d/1XWAQStnk-4SwqDmLtmXYiTMKHgktTP8We1SCoS47DrQ/edit?usp=sharing"",""จัดที่ดิน!AH36"")"),0)</f>
        <v>0</v>
      </c>
      <c r="K377" s="496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IFERROR(__xludf.DUMMYFUNCTION("IMPORTRANGE(""https://docs.google.com/spreadsheets/d/1QqKyyYR6Q21VydFLVH3TRQUabQu_ym0Zz7PgGX0-kHA/edit?usp=sharing"",""แผน!ET36"")"),5000)</f>
        <v>5000</v>
      </c>
      <c r="J378" s="269">
        <f ca="1">IFERROR(__xludf.DUMMYFUNCTION("IMPORTRANGE(""https://docs.google.com/spreadsheets/d/1XWAQStnk-4SwqDmLtmXYiTMKHgktTP8We1SCoS47DrQ/edit?usp=sharing"",""จัดที่ดิน!AI36"")"),0)</f>
        <v>0</v>
      </c>
      <c r="K378" s="496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IFERROR(__xludf.DUMMYFUNCTION("IMPORTRANGE(""https://docs.google.com/spreadsheets/d/1QqKyyYR6Q21VydFLVH3TRQUabQu_ym0Zz7PgGX0-kHA/edit?usp=sharing"",""แผน!EU36"")"),1500)</f>
        <v>1500</v>
      </c>
      <c r="J379" s="269">
        <f ca="1">IFERROR(__xludf.DUMMYFUNCTION("IMPORTRANGE(""https://docs.google.com/spreadsheets/d/1XWAQStnk-4SwqDmLtmXYiTMKHgktTP8We1SCoS47DrQ/edit?usp=sharing"",""จัดที่ดิน!AJ36"")"),557)</f>
        <v>557</v>
      </c>
      <c r="K379" s="496">
        <f t="shared" ca="1" si="164"/>
        <v>37.133333333333333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IFERROR(__xludf.DUMMYFUNCTION("IMPORTRANGE(""https://docs.google.com/spreadsheets/d/1XWAQStnk-4SwqDmLtmXYiTMKHgktTP8We1SCoS47DrQ/edit?usp=sharing"",""จัดที่ดิน!AK36"")"),8302.36)</f>
        <v>8302.36</v>
      </c>
      <c r="K380" s="496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IFERROR(__xludf.DUMMYFUNCTION("IMPORTRANGE(""https://docs.google.com/spreadsheets/d/1QqKyyYR6Q21VydFLVH3TRQUabQu_ym0Zz7PgGX0-kHA/edit?usp=sharing"",""แผน!EU36"")"),1500)</f>
        <v>1500</v>
      </c>
      <c r="J381" s="269">
        <f ca="1">IFERROR(__xludf.DUMMYFUNCTION("IMPORTRANGE(""https://docs.google.com/spreadsheets/d/1XWAQStnk-4SwqDmLtmXYiTMKHgktTP8We1SCoS47DrQ/edit?usp=sharing"",""จัดที่ดิน!AL36"")"),548)</f>
        <v>548</v>
      </c>
      <c r="K381" s="496">
        <f t="shared" ca="1" si="164"/>
        <v>36.533333333333331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IFERROR(__xludf.DUMMYFUNCTION("IMPORTRANGE(""https://docs.google.com/spreadsheets/d/1XWAQStnk-4SwqDmLtmXYiTMKHgktTP8We1SCoS47DrQ/edit?usp=sharing"",""จัดที่ดิน!AM36"")"),8162.74)</f>
        <v>8162.74</v>
      </c>
      <c r="K382" s="496">
        <f t="shared" si="164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IFERROR(__xludf.DUMMYFUNCTION("IMPORTRANGE(""https://docs.google.com/spreadsheets/d/1QqKyyYR6Q21VydFLVH3TRQUabQu_ym0Zz7PgGX0-kHA/edit?usp=sharing"",""แผน!EW36"")"),50)</f>
        <v>50</v>
      </c>
      <c r="J385" s="499">
        <f ca="1">IFERROR(__xludf.DUMMYFUNCTION("IMPORTRANGE(""https://docs.google.com/spreadsheets/d/1XWAQStnk-4SwqDmLtmXYiTMKHgktTP8We1SCoS47DrQ/edit?usp=sharing"",""จัดที่ดิน!AP36"")"),2)</f>
        <v>2</v>
      </c>
      <c r="K385" s="500">
        <f ca="1">IF(I385&gt;0,J385*100/I385,0)</f>
        <v>4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5">I400</f>
        <v>0</v>
      </c>
      <c r="J388" s="520">
        <f t="shared" si="165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70">L393+L394</f>
        <v>0</v>
      </c>
      <c r="M392" s="496">
        <f t="shared" ca="1" si="170"/>
        <v>0</v>
      </c>
      <c r="N392" s="496">
        <f t="shared" ca="1" si="170"/>
        <v>0</v>
      </c>
      <c r="O392" s="496">
        <f t="shared" ca="1" si="167"/>
        <v>0</v>
      </c>
      <c r="P392" s="496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1">L396+L397</f>
        <v>0</v>
      </c>
      <c r="M395" s="496">
        <f t="shared" ca="1" si="171"/>
        <v>0</v>
      </c>
      <c r="N395" s="496">
        <f t="shared" ca="1" si="171"/>
        <v>0</v>
      </c>
      <c r="O395" s="496">
        <f t="shared" ca="1" si="167"/>
        <v>0</v>
      </c>
      <c r="P395" s="496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2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2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3">I412</f>
        <v>0</v>
      </c>
      <c r="J401" s="520">
        <f t="shared" si="173"/>
        <v>0</v>
      </c>
      <c r="K401" s="521">
        <f t="shared" si="172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8">L406+L407</f>
        <v>0</v>
      </c>
      <c r="M405" s="496">
        <f t="shared" ca="1" si="178"/>
        <v>0</v>
      </c>
      <c r="N405" s="496">
        <f t="shared" ca="1" si="178"/>
        <v>0</v>
      </c>
      <c r="O405" s="496">
        <f t="shared" ca="1" si="175"/>
        <v>0</v>
      </c>
      <c r="P405" s="496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9">L409+L410</f>
        <v>0</v>
      </c>
      <c r="M408" s="496">
        <f t="shared" ca="1" si="179"/>
        <v>0</v>
      </c>
      <c r="N408" s="496">
        <f t="shared" ca="1" si="179"/>
        <v>0</v>
      </c>
      <c r="O408" s="496">
        <f t="shared" ca="1" si="175"/>
        <v>0</v>
      </c>
      <c r="P408" s="496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80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1">L419+L444+L467+L502+L523+L544+L629+L655+L685+L737+L754+L770+L786+L805</f>
        <v>5446220</v>
      </c>
      <c r="M414" s="547">
        <f t="shared" si="181"/>
        <v>0</v>
      </c>
      <c r="N414" s="547">
        <f t="shared" si="181"/>
        <v>574755.78999999992</v>
      </c>
      <c r="O414" s="547">
        <f ca="1">IF(L414&gt;0,N414*100/L414,0)</f>
        <v>10.553297332829006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2">I433</f>
        <v>70</v>
      </c>
      <c r="J417" s="563">
        <f t="shared" ca="1" si="182"/>
        <v>0</v>
      </c>
      <c r="K417" s="564">
        <f t="shared" ref="K417:K418" ca="1" si="183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2"/>
        <v>2</v>
      </c>
      <c r="J418" s="563">
        <f t="shared" si="182"/>
        <v>0</v>
      </c>
      <c r="K418" s="564">
        <f t="shared" ca="1" si="183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4">L420+L421</f>
        <v>216060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7"/>
        <v>216060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8">L423+L424</f>
        <v>216060</v>
      </c>
      <c r="M422" s="496">
        <f t="shared" si="188"/>
        <v>0</v>
      </c>
      <c r="N422" s="496">
        <f t="shared" si="188"/>
        <v>0</v>
      </c>
      <c r="O422" s="496">
        <f t="shared" ca="1" si="185"/>
        <v>0</v>
      </c>
      <c r="P422" s="496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IFERROR(__xludf.DUMMYFUNCTION("IMPORTRANGE(""https://docs.google.com/spreadsheets/d/1QqKyyYR6Q21VydFLVH3TRQUabQu_ym0Zz7PgGX0-kHA/edit?usp=sharing"",""แผน!EY36"")"),216060)</f>
        <v>216060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9">L430+L431</f>
        <v>0</v>
      </c>
      <c r="M429" s="496">
        <f t="shared" si="189"/>
        <v>0</v>
      </c>
      <c r="N429" s="496">
        <f t="shared" si="189"/>
        <v>0</v>
      </c>
      <c r="O429" s="496">
        <f t="shared" ref="O429:O431" ca="1" si="190">IF(L429&gt;0,N429*100/L429,0)</f>
        <v>0</v>
      </c>
      <c r="P429" s="496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70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3">I438+I440</f>
        <v>2</v>
      </c>
      <c r="J434" s="674">
        <f t="shared" si="193"/>
        <v>0</v>
      </c>
      <c r="K434" s="195">
        <f t="shared" ca="1" si="192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IFERROR(__xludf.DUMMYFUNCTION("IMPORTRANGE(""https://docs.google.com/spreadsheets/d/1QqKyyYR6Q21VydFLVH3TRQUabQu_ym0Zz7PgGX0-kHA/edit?usp=sharing"",""แผน!FC36"")"),70)</f>
        <v>70</v>
      </c>
      <c r="J435" s="577">
        <v>0</v>
      </c>
      <c r="K435" s="496">
        <f t="shared" ca="1" si="192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IFERROR(__xludf.DUMMYFUNCTION("IMPORTRANGE(""https://docs.google.com/spreadsheets/d/1QqKyyYR6Q21VydFLVH3TRQUabQu_ym0Zz7PgGX0-kHA/edit?usp=sharing"",""แผน!FD36"")"),50)</f>
        <v>50</v>
      </c>
      <c r="J437" s="577">
        <v>0</v>
      </c>
      <c r="K437" s="496">
        <f t="shared" ref="K437:K443" ca="1" si="194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IFERROR(__xludf.DUMMYFUNCTION("IMPORTRANGE(""https://docs.google.com/spreadsheets/d/1QqKyyYR6Q21VydFLVH3TRQUabQu_ym0Zz7PgGX0-kHA/edit?usp=sharing"",""แผน!FE36"")"),1)</f>
        <v>1</v>
      </c>
      <c r="J438" s="214">
        <v>0</v>
      </c>
      <c r="K438" s="496">
        <f t="shared" ca="1" si="194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IFERROR(__xludf.DUMMYFUNCTION("IMPORTRANGE(""https://docs.google.com/spreadsheets/d/1QqKyyYR6Q21VydFLVH3TRQUabQu_ym0Zz7PgGX0-kHA/edit?usp=sharing"",""แผน!FF36"")"),20)</f>
        <v>20</v>
      </c>
      <c r="J439" s="577">
        <v>0</v>
      </c>
      <c r="K439" s="496">
        <f t="shared" ca="1" si="194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IFERROR(__xludf.DUMMYFUNCTION("IMPORTRANGE(""https://docs.google.com/spreadsheets/d/1QqKyyYR6Q21VydFLVH3TRQUabQu_ym0Zz7PgGX0-kHA/edit?usp=sharing"",""แผน!FG36"")"),1)</f>
        <v>1</v>
      </c>
      <c r="J440" s="214">
        <v>0</v>
      </c>
      <c r="K440" s="496">
        <f t="shared" ca="1" si="194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IFERROR(__xludf.DUMMYFUNCTION("IMPORTRANGE(""https://docs.google.com/spreadsheets/d/1QqKyyYR6Q21VydFLVH3TRQUabQu_ym0Zz7PgGX0-kHA/edit?usp=sharing"",""แผน!FH36"")"),0)</f>
        <v>0</v>
      </c>
      <c r="J441" s="269">
        <v>0</v>
      </c>
      <c r="K441" s="496">
        <f t="shared" ca="1" si="194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5">I460</f>
        <v>70</v>
      </c>
      <c r="J442" s="583">
        <f t="shared" si="195"/>
        <v>70</v>
      </c>
      <c r="K442" s="584">
        <f t="shared" ca="1" si="194"/>
        <v>100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6">I462</f>
        <v>140</v>
      </c>
      <c r="J443" s="563">
        <f t="shared" si="196"/>
        <v>140</v>
      </c>
      <c r="K443" s="564">
        <f t="shared" ca="1" si="194"/>
        <v>100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7">L445+L446</f>
        <v>444200</v>
      </c>
      <c r="M444" s="195">
        <f t="shared" si="197"/>
        <v>0</v>
      </c>
      <c r="N444" s="195">
        <f t="shared" si="197"/>
        <v>46850</v>
      </c>
      <c r="O444" s="195">
        <f t="shared" ref="O444:O449" ca="1" si="198">IF(L444&gt;0,N444*100/L444,0)</f>
        <v>10.54705087798289</v>
      </c>
      <c r="P444" s="195">
        <f t="shared" ref="P444:P449" si="199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200"/>
        <v>444200</v>
      </c>
      <c r="M446" s="93">
        <f t="shared" si="200"/>
        <v>0</v>
      </c>
      <c r="N446" s="93">
        <f t="shared" si="200"/>
        <v>46850</v>
      </c>
      <c r="O446" s="93">
        <f t="shared" ca="1" si="198"/>
        <v>10.54705087798289</v>
      </c>
      <c r="P446" s="93">
        <f t="shared" si="199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1">L448+L449</f>
        <v>444200</v>
      </c>
      <c r="M447" s="496">
        <f t="shared" si="201"/>
        <v>0</v>
      </c>
      <c r="N447" s="496">
        <f t="shared" si="201"/>
        <v>46850</v>
      </c>
      <c r="O447" s="496">
        <f t="shared" ca="1" si="198"/>
        <v>10.54705087798289</v>
      </c>
      <c r="P447" s="496">
        <f t="shared" si="199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v>0</v>
      </c>
      <c r="N449" s="93">
        <f>N450+N451+N452+N453</f>
        <v>46850</v>
      </c>
      <c r="O449" s="93">
        <f t="shared" ca="1" si="198"/>
        <v>10.54705087798289</v>
      </c>
      <c r="P449" s="93">
        <f t="shared" si="199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28850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13000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5000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2">L455+L456</f>
        <v>0</v>
      </c>
      <c r="M454" s="496">
        <f t="shared" si="202"/>
        <v>0</v>
      </c>
      <c r="N454" s="496">
        <f t="shared" si="202"/>
        <v>0</v>
      </c>
      <c r="O454" s="496">
        <f t="shared" ref="O454:O456" ca="1" si="203">IF(L454&gt;0,N454*100/L454,0)</f>
        <v>0</v>
      </c>
      <c r="P454" s="496">
        <f t="shared" ref="P454:P456" si="204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IFERROR(__xludf.DUMMYFUNCTION("IMPORTRANGE(""https://docs.google.com/spreadsheets/d/1QqKyyYR6Q21VydFLVH3TRQUabQu_ym0Zz7PgGX0-kHA/edit?usp=sharing"",""แผน!FN36"")"),70)</f>
        <v>70</v>
      </c>
      <c r="J460" s="214">
        <v>70</v>
      </c>
      <c r="K460" s="496">
        <f ca="1">IF(I460&gt;0,J460*100/I460,0)</f>
        <v>100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IFERROR(__xludf.DUMMYFUNCTION("IMPORTRANGE(""https://docs.google.com/spreadsheets/d/1QqKyyYR6Q21VydFLVH3TRQUabQu_ym0Zz7PgGX0-kHA/edit?usp=sharing"",""แผน!FO36"")"),140)</f>
        <v>140</v>
      </c>
      <c r="J462" s="214">
        <v>140</v>
      </c>
      <c r="K462" s="496">
        <f ca="1">IF(I462&gt;0,J462*100/I462,0)</f>
        <v>100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IFERROR(__xludf.DUMMYFUNCTION("IMPORTRANGE(""https://docs.google.com/spreadsheets/d/1QqKyyYR6Q21VydFLVH3TRQUabQu_ym0Zz7PgGX0-kHA/edit?usp=sharing"",""แผน!FO36"")"),140)</f>
        <v>140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IFERROR(__xludf.DUMMYFUNCTION("IMPORTRANGE(""https://docs.google.com/spreadsheets/d/1QqKyyYR6Q21VydFLVH3TRQUabQu_ym0Zz7PgGX0-kHA/edit?usp=sharing"",""แผน!FN36"")"),70)</f>
        <v>70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IFERROR(__xludf.DUMMYFUNCTION("IMPORTRANGE(""https://docs.google.com/spreadsheets/d/1QqKyyYR6Q21VydFLVH3TRQUabQu_ym0Zz7PgGX0-kHA/edit?usp=sharing"",""แผน!FX36"")"),131)</f>
        <v>131</v>
      </c>
      <c r="J465" s="583">
        <f>J485+J489+J492</f>
        <v>0</v>
      </c>
      <c r="K465" s="584">
        <f t="shared" ref="K465:K466" ca="1" si="205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IFERROR(__xludf.DUMMYFUNCTION("IMPORTRANGE(""https://docs.google.com/spreadsheets/d/1QqKyyYR6Q21VydFLVH3TRQUabQu_ym0Zz7PgGX0-kHA/edit?usp=sharing"",""แผน!FW36"")"),1300)</f>
        <v>1300</v>
      </c>
      <c r="J466" s="563">
        <f>J483+J487</f>
        <v>0</v>
      </c>
      <c r="K466" s="564">
        <f t="shared" ca="1" si="205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6">L468+L469</f>
        <v>1161548</v>
      </c>
      <c r="M467" s="195">
        <f t="shared" si="206"/>
        <v>0</v>
      </c>
      <c r="N467" s="195">
        <f t="shared" si="206"/>
        <v>24920</v>
      </c>
      <c r="O467" s="195">
        <f t="shared" ref="O467:O472" ca="1" si="207">IF(L467&gt;0,N467*100/L467,0)</f>
        <v>2.145412845616367</v>
      </c>
      <c r="P467" s="195">
        <f t="shared" ref="P467:P472" si="208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9"/>
        <v>1161548</v>
      </c>
      <c r="M469" s="93">
        <f t="shared" si="209"/>
        <v>0</v>
      </c>
      <c r="N469" s="93">
        <f t="shared" si="209"/>
        <v>24920</v>
      </c>
      <c r="O469" s="93">
        <f t="shared" ca="1" si="207"/>
        <v>2.145412845616367</v>
      </c>
      <c r="P469" s="93">
        <f t="shared" si="208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10">L471+L472</f>
        <v>1161548</v>
      </c>
      <c r="M470" s="496">
        <f t="shared" si="210"/>
        <v>0</v>
      </c>
      <c r="N470" s="496">
        <f t="shared" si="210"/>
        <v>24920</v>
      </c>
      <c r="O470" s="496">
        <f t="shared" ca="1" si="207"/>
        <v>2.145412845616367</v>
      </c>
      <c r="P470" s="496">
        <f t="shared" si="208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IFERROR(__xludf.DUMMYFUNCTION("IMPORTRANGE(""https://docs.google.com/spreadsheets/d/1QqKyyYR6Q21VydFLVH3TRQUabQu_ym0Zz7PgGX0-kHA/edit?usp=sharing"",""แผน!FS36"")"),1161548)</f>
        <v>1161548</v>
      </c>
      <c r="M472" s="93">
        <v>0</v>
      </c>
      <c r="N472" s="93">
        <f>N473+N474+N475+N476</f>
        <v>24920</v>
      </c>
      <c r="O472" s="93">
        <f t="shared" ca="1" si="207"/>
        <v>2.145412845616367</v>
      </c>
      <c r="P472" s="93">
        <f t="shared" si="208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13000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11920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1">L478+L479</f>
        <v>0</v>
      </c>
      <c r="M477" s="496">
        <f t="shared" si="211"/>
        <v>0</v>
      </c>
      <c r="N477" s="496">
        <f t="shared" si="211"/>
        <v>0</v>
      </c>
      <c r="O477" s="496">
        <f t="shared" ref="O477:O479" ca="1" si="212">IF(L477&gt;0,N477*100/L477,0)</f>
        <v>0</v>
      </c>
      <c r="P477" s="496">
        <f t="shared" ref="P477:P479" si="213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IFERROR(__xludf.DUMMYFUNCTION("IMPORTRANGE(""https://docs.google.com/spreadsheets/d/1QqKyyYR6Q21VydFLVH3TRQUabQu_ym0Zz7PgGX0-kHA/edit?usp=sharing"",""แผน!FY36"")"),1170)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IFERROR(__xludf.DUMMYFUNCTION("IMPORTRANGE(""https://docs.google.com/spreadsheets/d/1QqKyyYR6Q21VydFLVH3TRQUabQu_ym0Zz7PgGX0-kHA/edit?usp=sharing"",""แผน!FZ36"")"),117)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IFERROR(__xludf.DUMMYFUNCTION("IMPORTRANGE(""https://docs.google.com/spreadsheets/d/1QqKyyYR6Q21VydFLVH3TRQUabQu_ym0Zz7PgGX0-kHA/edit?usp=sharing"",""แผน!GA36"")"),130)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IFERROR(__xludf.DUMMYFUNCTION("IMPORTRANGE(""https://docs.google.com/spreadsheets/d/1QqKyyYR6Q21VydFLVH3TRQUabQu_ym0Zz7PgGX0-kHA/edit?usp=sharing"",""แผน!GB36"")"),13)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IFERROR(__xludf.DUMMYFUNCTION("IMPORTRANGE(""https://docs.google.com/spreadsheets/d/1QqKyyYR6Q21VydFLVH3TRQUabQu_ym0Zz7PgGX0-kHA/edit?usp=sharing"",""แผน!GC36"")"),1)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IFERROR(__xludf.DUMMYFUNCTION("IMPORTRANGE(""https://docs.google.com/spreadsheets/d/1QqKyyYR6Q21VydFLVH3TRQUabQu_ym0Zz7PgGX0-kHA/edit?usp=sharing"",""แผน!FY36"")"),1170)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IFERROR(__xludf.DUMMYFUNCTION("IMPORTRANGE(""https://docs.google.com/spreadsheets/d/1QqKyyYR6Q21VydFLVH3TRQUabQu_ym0Zz7PgGX0-kHA/edit?usp=sharing"",""แผน!GA36"")"),130)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4">J516</f>
        <v>0</v>
      </c>
      <c r="K500" s="627">
        <f t="shared" ref="K500:K501" si="215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4"/>
        <v>0</v>
      </c>
      <c r="K501" s="636">
        <f t="shared" si="215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6">L503+L504</f>
        <v>0</v>
      </c>
      <c r="M502" s="640">
        <f t="shared" si="216"/>
        <v>0</v>
      </c>
      <c r="N502" s="640">
        <f t="shared" si="216"/>
        <v>0</v>
      </c>
      <c r="O502" s="640">
        <f t="shared" ref="O502:O507" si="217">IF(L502&gt;0,N502*100/L502,0)</f>
        <v>0</v>
      </c>
      <c r="P502" s="640">
        <f t="shared" ref="P502:P507" si="218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4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5">I537</f>
        <v>50</v>
      </c>
      <c r="J522" s="699">
        <f t="shared" ca="1" si="225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6">L524+L525</f>
        <v>427460</v>
      </c>
      <c r="M523" s="195">
        <f t="shared" si="226"/>
        <v>0</v>
      </c>
      <c r="N523" s="195">
        <f t="shared" si="226"/>
        <v>17480</v>
      </c>
      <c r="O523" s="195">
        <f t="shared" ref="O523:O528" ca="1" si="227">IF(L523&gt;0,N523*100/L523,0)</f>
        <v>4.0892715107846351</v>
      </c>
      <c r="P523" s="195">
        <f t="shared" ref="P523:P528" si="228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9"/>
        <v>427460</v>
      </c>
      <c r="M525" s="93">
        <f t="shared" si="229"/>
        <v>0</v>
      </c>
      <c r="N525" s="93">
        <f t="shared" si="229"/>
        <v>17480</v>
      </c>
      <c r="O525" s="93">
        <f t="shared" ca="1" si="227"/>
        <v>4.0892715107846351</v>
      </c>
      <c r="P525" s="93">
        <f t="shared" si="228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30">L527+L528</f>
        <v>427460</v>
      </c>
      <c r="M526" s="496">
        <f t="shared" si="230"/>
        <v>0</v>
      </c>
      <c r="N526" s="496">
        <f t="shared" si="230"/>
        <v>17480</v>
      </c>
      <c r="O526" s="496">
        <f t="shared" ca="1" si="227"/>
        <v>4.0892715107846351</v>
      </c>
      <c r="P526" s="496">
        <f t="shared" si="228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v>0</v>
      </c>
      <c r="N528" s="93">
        <f>N529+N530+N531+N532</f>
        <v>17480</v>
      </c>
      <c r="O528" s="93">
        <f t="shared" ca="1" si="227"/>
        <v>4.0892715107846351</v>
      </c>
      <c r="P528" s="93">
        <f t="shared" si="228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16740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740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1">L534+L535</f>
        <v>0</v>
      </c>
      <c r="M533" s="496">
        <f t="shared" si="231"/>
        <v>0</v>
      </c>
      <c r="N533" s="496">
        <f t="shared" si="231"/>
        <v>0</v>
      </c>
      <c r="O533" s="496">
        <f t="shared" ref="O533:O535" ca="1" si="232">IF(L533&gt;0,N533*100/L533,0)</f>
        <v>0</v>
      </c>
      <c r="P533" s="496">
        <f t="shared" ref="P533:P535" si="233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IFERROR(__xludf.DUMMYFUNCTION("IMPORTRANGE(""https://docs.google.com/spreadsheets/d/1QqKyyYR6Q21VydFLVH3TRQUabQu_ym0Zz7PgGX0-kHA/edit?usp=sharing"",""แผน!GU36"")"),50)</f>
        <v>50</v>
      </c>
      <c r="J537" s="674">
        <f ca="1">IF(AND(J538=I538,J539=I539,J540=I540,J541=I541),I537,0)</f>
        <v>0</v>
      </c>
      <c r="K537" s="496">
        <f t="shared" ref="K537:K543" ca="1" si="234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IFERROR(__xludf.DUMMYFUNCTION("IMPORTRANGE(""https://docs.google.com/spreadsheets/d/1QqKyyYR6Q21VydFLVH3TRQUabQu_ym0Zz7PgGX0-kHA/edit?usp=sharing"",""แผน!GV36"")"),50)</f>
        <v>50</v>
      </c>
      <c r="J538" s="214">
        <v>30</v>
      </c>
      <c r="K538" s="496">
        <f t="shared" ca="1" si="234"/>
        <v>60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IFERROR(__xludf.DUMMYFUNCTION("IMPORTRANGE(""https://docs.google.com/spreadsheets/d/1QqKyyYR6Q21VydFLVH3TRQUabQu_ym0Zz7PgGX0-kHA/edit?usp=sharing"",""แผน!GW36"")"),0)</f>
        <v>0</v>
      </c>
      <c r="J539" s="214">
        <v>0</v>
      </c>
      <c r="K539" s="496">
        <f t="shared" ca="1" si="234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IFERROR(__xludf.DUMMYFUNCTION("IMPORTRANGE(""https://docs.google.com/spreadsheets/d/1QqKyyYR6Q21VydFLVH3TRQUabQu_ym0Zz7PgGX0-kHA/edit?usp=sharing"",""แผน!GX36"")"),0)</f>
        <v>0</v>
      </c>
      <c r="J540" s="214">
        <v>0</v>
      </c>
      <c r="K540" s="496">
        <f t="shared" ca="1" si="234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IFERROR(__xludf.DUMMYFUNCTION("IMPORTRANGE(""https://docs.google.com/spreadsheets/d/1QqKyyYR6Q21VydFLVH3TRQUabQu_ym0Zz7PgGX0-kHA/edit?usp=sharing"",""แผน!GY36"")"),50)</f>
        <v>50</v>
      </c>
      <c r="J541" s="214">
        <v>0</v>
      </c>
      <c r="K541" s="496">
        <f t="shared" ca="1" si="234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IFERROR(__xludf.DUMMYFUNCTION("IMPORTRANGE(""https://docs.google.com/spreadsheets/d/1QqKyyYR6Q21VydFLVH3TRQUabQu_ym0Zz7PgGX0-kHA/edit?usp=sharing"",""แผน!GZ36"")"),50)</f>
        <v>50</v>
      </c>
      <c r="J542" s="214">
        <v>0</v>
      </c>
      <c r="K542" s="496">
        <f t="shared" ca="1" si="234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5">I559</f>
        <v>103382</v>
      </c>
      <c r="J543" s="680">
        <f t="shared" si="235"/>
        <v>0</v>
      </c>
      <c r="K543" s="681">
        <f t="shared" ca="1" si="234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6">L545+L546</f>
        <v>754627</v>
      </c>
      <c r="M544" s="155">
        <f t="shared" si="236"/>
        <v>0</v>
      </c>
      <c r="N544" s="155">
        <f t="shared" si="236"/>
        <v>109491.2</v>
      </c>
      <c r="O544" s="155">
        <f t="shared" ref="O544:O549" ca="1" si="237">IF(L544&gt;0,N544*100/L544,0)</f>
        <v>14.509313872946501</v>
      </c>
      <c r="P544" s="155">
        <f t="shared" ref="P544:P549" si="238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9"/>
        <v>754627</v>
      </c>
      <c r="M546" s="93">
        <f t="shared" si="240"/>
        <v>0</v>
      </c>
      <c r="N546" s="93">
        <f t="shared" si="240"/>
        <v>109491.2</v>
      </c>
      <c r="O546" s="93">
        <f t="shared" ca="1" si="237"/>
        <v>14.509313872946501</v>
      </c>
      <c r="P546" s="93">
        <f t="shared" si="238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1">L548+L549</f>
        <v>754627</v>
      </c>
      <c r="M547" s="496">
        <f t="shared" si="241"/>
        <v>0</v>
      </c>
      <c r="N547" s="496">
        <f t="shared" si="241"/>
        <v>109491.2</v>
      </c>
      <c r="O547" s="496">
        <f t="shared" ca="1" si="237"/>
        <v>14.509313872946501</v>
      </c>
      <c r="P547" s="496">
        <f t="shared" si="238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IFERROR(__xludf.DUMMYFUNCTION("IMPORTRANGE(""https://docs.google.com/spreadsheets/d/1QqKyyYR6Q21VydFLVH3TRQUabQu_ym0Zz7PgGX0-kHA/edit?usp=sharing"",""แผน!HB36"")"),754627)</f>
        <v>754627</v>
      </c>
      <c r="M549" s="93">
        <v>0</v>
      </c>
      <c r="N549" s="93">
        <f>N550+N551+N552+N553+N554</f>
        <v>109491.2</v>
      </c>
      <c r="O549" s="93">
        <f t="shared" ca="1" si="237"/>
        <v>14.509313872946501</v>
      </c>
      <c r="P549" s="93">
        <f t="shared" si="238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13000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96491.199999999997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2">L556+L557</f>
        <v>0</v>
      </c>
      <c r="M555" s="496">
        <f t="shared" si="242"/>
        <v>0</v>
      </c>
      <c r="N555" s="496">
        <f t="shared" si="242"/>
        <v>0</v>
      </c>
      <c r="O555" s="496">
        <f t="shared" ref="O555:O557" ca="1" si="243">IF(L555&gt;0,N555*100/L555,0)</f>
        <v>0</v>
      </c>
      <c r="P555" s="496">
        <f t="shared" ref="P555:P557" si="244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5">I576</f>
        <v>103382</v>
      </c>
      <c r="J559" s="699">
        <f t="shared" si="245"/>
        <v>0</v>
      </c>
      <c r="K559" s="670">
        <f t="shared" ref="K559:K561" ca="1" si="246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IFERROR(__xludf.DUMMYFUNCTION("IMPORTRANGE(""https://docs.google.com/spreadsheets/d/1QqKyyYR6Q21VydFLVH3TRQUabQu_ym0Zz7PgGX0-kHA/edit?usp=sharing"",""แผน!HH36"")"),103382)</f>
        <v>103382</v>
      </c>
      <c r="J560" s="193">
        <f t="shared" ref="J560:J561" si="247">J562+J564+J566</f>
        <v>0</v>
      </c>
      <c r="K560" s="410">
        <f t="shared" ca="1" si="246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0</v>
      </c>
      <c r="K561" s="410">
        <f t="shared" ca="1" si="246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IFERROR(__xludf.DUMMYFUNCTION("IMPORTRANGE(""https://docs.google.com/spreadsheets/d/1QqKyyYR6Q21VydFLVH3TRQUabQu_ym0Zz7PgGX0-kHA/edit?usp=sharing"",""แผน!HH36"")"),103382)</f>
        <v>103382</v>
      </c>
      <c r="J568" s="674">
        <f t="shared" ref="J568:J569" si="248">J570+J572+J574</f>
        <v>0</v>
      </c>
      <c r="K568" s="410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74">
        <f t="shared" si="248"/>
        <v>0</v>
      </c>
      <c r="K569" s="410">
        <f t="shared" ca="1" si="249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IFERROR(__xludf.DUMMYFUNCTION("IMPORTRANGE(""https://docs.google.com/spreadsheets/d/1QqKyyYR6Q21VydFLVH3TRQUabQu_ym0Zz7PgGX0-kHA/edit?usp=sharing"",""แผน!HH36"")"),103382)</f>
        <v>103382</v>
      </c>
      <c r="J576" s="674">
        <f t="shared" ref="J576:J577" si="250">J578+J580+J582+J588+J590</f>
        <v>0</v>
      </c>
      <c r="K576" s="410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74">
        <f t="shared" si="250"/>
        <v>0</v>
      </c>
      <c r="K577" s="410">
        <f t="shared" ca="1" si="251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2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2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3">I593</f>
        <v>10908</v>
      </c>
      <c r="J592" s="699">
        <f t="shared" si="253"/>
        <v>0</v>
      </c>
      <c r="K592" s="670">
        <f t="shared" ref="K592:K594" ca="1" si="254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IFERROR(__xludf.DUMMYFUNCTION("IMPORTRANGE(""https://docs.google.com/spreadsheets/d/1QqKyyYR6Q21VydFLVH3TRQUabQu_ym0Zz7PgGX0-kHA/edit?usp=sharing"",""แผน!HJ36"")"),10908)</f>
        <v>10908</v>
      </c>
      <c r="J593" s="193">
        <f t="shared" ref="J593:J594" si="255">J595+J603+J609</f>
        <v>0</v>
      </c>
      <c r="K593" s="410">
        <f t="shared" ca="1" si="254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0</v>
      </c>
      <c r="K594" s="410">
        <f t="shared" ca="1" si="254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7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8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9">J614+J616</f>
        <v>0</v>
      </c>
      <c r="K612" s="708">
        <f t="shared" si="258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9"/>
        <v>0</v>
      </c>
      <c r="K613" s="708">
        <f t="shared" si="258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IFERROR(__xludf.DUMMYFUNCTION("IMPORTRANGE(""https://docs.google.com/spreadsheets/d/1QqKyyYR6Q21VydFLVH3TRQUabQu_ym0Zz7PgGX0-kHA/edit?usp=sharing"",""แผน!HL36"")"),0)</f>
        <v>0</v>
      </c>
      <c r="J620" s="719">
        <f t="shared" ref="J620:J621" si="260">J622+J624+J626</f>
        <v>0</v>
      </c>
      <c r="K620" s="720">
        <f t="shared" ref="K620:K621" ca="1" si="261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IFERROR(__xludf.DUMMYFUNCTION("IMPORTRANGE(""https://docs.google.com/spreadsheets/d/1QqKyyYR6Q21VydFLVH3TRQUabQu_ym0Zz7PgGX0-kHA/edit?usp=sharing"",""แผน!HK36"")"),0)</f>
        <v>0</v>
      </c>
      <c r="J621" s="719">
        <f t="shared" si="260"/>
        <v>0</v>
      </c>
      <c r="K621" s="720">
        <f t="shared" ca="1" si="261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2">I651</f>
        <v>2500</v>
      </c>
      <c r="J628" s="732">
        <f t="shared" ca="1" si="262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3">L630+L631</f>
        <v>2073125</v>
      </c>
      <c r="M629" s="195">
        <f t="shared" si="263"/>
        <v>0</v>
      </c>
      <c r="N629" s="195">
        <f t="shared" si="263"/>
        <v>357148.01999999996</v>
      </c>
      <c r="O629" s="195">
        <f t="shared" ref="O629:O634" ca="1" si="264">IF(L629&gt;0,N629*100/L629,0)</f>
        <v>17.227519807054563</v>
      </c>
      <c r="P629" s="195">
        <f t="shared" ref="P629:P634" si="265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6"/>
        <v>2073125</v>
      </c>
      <c r="M631" s="93">
        <f t="shared" si="266"/>
        <v>0</v>
      </c>
      <c r="N631" s="93">
        <f t="shared" si="266"/>
        <v>357148.01999999996</v>
      </c>
      <c r="O631" s="93">
        <f t="shared" ca="1" si="264"/>
        <v>17.227519807054563</v>
      </c>
      <c r="P631" s="93">
        <f t="shared" si="265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7">L633+L634</f>
        <v>2073125</v>
      </c>
      <c r="M632" s="496">
        <f t="shared" si="267"/>
        <v>0</v>
      </c>
      <c r="N632" s="496">
        <f t="shared" si="267"/>
        <v>357148.01999999996</v>
      </c>
      <c r="O632" s="496">
        <f t="shared" ca="1" si="264"/>
        <v>17.227519807054563</v>
      </c>
      <c r="P632" s="496">
        <f t="shared" si="265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v>0</v>
      </c>
      <c r="N634" s="93">
        <f>N635+N636+N637+N638</f>
        <v>357148.01999999996</v>
      </c>
      <c r="O634" s="93">
        <f t="shared" ca="1" si="264"/>
        <v>17.227519807054563</v>
      </c>
      <c r="P634" s="93">
        <f t="shared" si="265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38566.67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318581.34999999998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8">L640+L641</f>
        <v>0</v>
      </c>
      <c r="M639" s="496">
        <f t="shared" si="268"/>
        <v>0</v>
      </c>
      <c r="N639" s="496">
        <f t="shared" si="268"/>
        <v>0</v>
      </c>
      <c r="O639" s="496">
        <f t="shared" ref="O639:O641" ca="1" si="269">IF(L639&gt;0,N639*100/L639,0)</f>
        <v>0</v>
      </c>
      <c r="P639" s="496">
        <f t="shared" ref="P639:P641" si="270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IFERROR(__xludf.DUMMYFUNCTION("IMPORTRANGE(""https://docs.google.com/spreadsheets/d/1QqKyyYR6Q21VydFLVH3TRQUabQu_ym0Zz7PgGX0-kHA/edit?usp=sharing"",""แผน!HR36"")"),0)</f>
        <v>0</v>
      </c>
      <c r="J643" s="214">
        <v>0</v>
      </c>
      <c r="K643" s="163">
        <f t="shared" ref="K643:K652" ca="1" si="271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IFERROR(__xludf.DUMMYFUNCTION("IMPORTRANGE(""https://docs.google.com/spreadsheets/d/1QqKyyYR6Q21VydFLVH3TRQUabQu_ym0Zz7PgGX0-kHA/edit?usp=sharing"",""แผน!HR36"")"),0)</f>
        <v>0</v>
      </c>
      <c r="J644" s="214">
        <v>0</v>
      </c>
      <c r="K644" s="163">
        <f t="shared" ca="1" si="271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IFERROR(__xludf.DUMMYFUNCTION("IMPORTRANGE(""https://docs.google.com/spreadsheets/d/1XWAQStnk-4SwqDmLtmXYiTMKHgktTP8We1SCoS47DrQ/edit?usp=sharing"",""จัดที่ดิน!AS36"")"),20)</f>
        <v>20</v>
      </c>
      <c r="K645" s="163">
        <f t="shared" si="271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IFERROR(__xludf.DUMMYFUNCTION("IMPORTRANGE(""https://docs.google.com/spreadsheets/d/1XWAQStnk-4SwqDmLtmXYiTMKHgktTP8We1SCoS47DrQ/edit?usp=sharing"",""จัดที่ดิน!AT36"")"),11.86)</f>
        <v>11.86</v>
      </c>
      <c r="K646" s="496">
        <f t="shared" si="271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IFERROR(__xludf.DUMMYFUNCTION("IMPORTRANGE(""https://docs.google.com/spreadsheets/d/1QqKyyYR6Q21VydFLVH3TRQUabQu_ym0Zz7PgGX0-kHA/edit?usp=sharing"",""แผน!HS36"")"),2500)</f>
        <v>2500</v>
      </c>
      <c r="J647" s="269">
        <f ca="1">IFERROR(__xludf.DUMMYFUNCTION("IMPORTRANGE(""https://docs.google.com/spreadsheets/d/1XWAQStnk-4SwqDmLtmXYiTMKHgktTP8We1SCoS47DrQ/edit?usp=sharing"",""จัดที่ดิน!AU36"")"),252)</f>
        <v>252</v>
      </c>
      <c r="K647" s="163">
        <f t="shared" ca="1" si="271"/>
        <v>10.08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IFERROR(__xludf.DUMMYFUNCTION("IMPORTRANGE(""https://docs.google.com/spreadsheets/d/1XWAQStnk-4SwqDmLtmXYiTMKHgktTP8We1SCoS47DrQ/edit?usp=sharing"",""จัดที่ดิน!AV36"")"),189.04)</f>
        <v>189.04</v>
      </c>
      <c r="K648" s="496">
        <f t="shared" si="271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IFERROR(__xludf.DUMMYFUNCTION("IMPORTRANGE(""https://docs.google.com/spreadsheets/d/1QqKyyYR6Q21VydFLVH3TRQUabQu_ym0Zz7PgGX0-kHA/edit?usp=sharing"",""แผน!HS36"")"),2500)</f>
        <v>2500</v>
      </c>
      <c r="J649" s="269">
        <f ca="1">IFERROR(__xludf.DUMMYFUNCTION("IMPORTRANGE(""https://docs.google.com/spreadsheets/d/1XWAQStnk-4SwqDmLtmXYiTMKHgktTP8We1SCoS47DrQ/edit?usp=sharing"",""จัดที่ดิน!AW36"")"),57)</f>
        <v>57</v>
      </c>
      <c r="K649" s="163">
        <f t="shared" ca="1" si="271"/>
        <v>2.2799999999999998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IFERROR(__xludf.DUMMYFUNCTION("IMPORTRANGE(""https://docs.google.com/spreadsheets/d/1XWAQStnk-4SwqDmLtmXYiTMKHgktTP8We1SCoS47DrQ/edit?usp=sharing"",""จัดที่ดิน!AX36"")"),37.96)</f>
        <v>37.96</v>
      </c>
      <c r="K650" s="496">
        <f t="shared" si="271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IFERROR(__xludf.DUMMYFUNCTION("IMPORTRANGE(""https://docs.google.com/spreadsheets/d/1QqKyyYR6Q21VydFLVH3TRQUabQu_ym0Zz7PgGX0-kHA/edit?usp=sharing"",""แผน!HS36"")"),2500)</f>
        <v>2500</v>
      </c>
      <c r="J651" s="269">
        <f ca="1">IFERROR(__xludf.DUMMYFUNCTION("IMPORTRANGE(""https://docs.google.com/spreadsheets/d/1XWAQStnk-4SwqDmLtmXYiTMKHgktTP8We1SCoS47DrQ/edit?usp=sharing"",""จัดที่ดิน!AY36"")"),0)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IFERROR(__xludf.DUMMYFUNCTION("IMPORTRANGE(""https://docs.google.com/spreadsheets/d/1XWAQStnk-4SwqDmLtmXYiTMKHgktTP8We1SCoS47DrQ/edit?usp=sharing"",""จัดที่ดิน!AZ36"")"),0)</f>
        <v>0</v>
      </c>
      <c r="K652" s="500">
        <f t="shared" si="271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2">I669</f>
        <v>320</v>
      </c>
      <c r="J654" s="699">
        <f t="shared" si="272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3">L656+L657</f>
        <v>28800</v>
      </c>
      <c r="M655" s="195">
        <f t="shared" si="273"/>
        <v>0</v>
      </c>
      <c r="N655" s="195">
        <f t="shared" si="273"/>
        <v>6300</v>
      </c>
      <c r="O655" s="195">
        <f t="shared" ref="O655:O660" ca="1" si="274">IF(L655&gt;0,N655*100/L655,0)</f>
        <v>21.875</v>
      </c>
      <c r="P655" s="195">
        <f t="shared" ref="P655:P660" si="275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6"/>
        <v>28800</v>
      </c>
      <c r="M657" s="93">
        <f t="shared" si="276"/>
        <v>0</v>
      </c>
      <c r="N657" s="93">
        <f t="shared" si="276"/>
        <v>6300</v>
      </c>
      <c r="O657" s="93">
        <f t="shared" ca="1" si="274"/>
        <v>21.875</v>
      </c>
      <c r="P657" s="93">
        <f t="shared" si="275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7">L659+L660</f>
        <v>28800</v>
      </c>
      <c r="M658" s="496">
        <f t="shared" si="277"/>
        <v>0</v>
      </c>
      <c r="N658" s="496">
        <f t="shared" si="277"/>
        <v>6300</v>
      </c>
      <c r="O658" s="496">
        <f t="shared" ca="1" si="274"/>
        <v>21.875</v>
      </c>
      <c r="P658" s="496">
        <f t="shared" si="275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v>0</v>
      </c>
      <c r="N660" s="93">
        <f>N661+N662+N663+N664</f>
        <v>6300</v>
      </c>
      <c r="O660" s="93">
        <f t="shared" ca="1" si="274"/>
        <v>21.875</v>
      </c>
      <c r="P660" s="93">
        <f t="shared" si="275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6300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8">L666+L667</f>
        <v>0</v>
      </c>
      <c r="M665" s="496">
        <f t="shared" si="278"/>
        <v>0</v>
      </c>
      <c r="N665" s="496">
        <f t="shared" si="278"/>
        <v>0</v>
      </c>
      <c r="O665" s="496">
        <f t="shared" ref="O665:O667" si="279">IF(L665&gt;0,N665*100/L665,0)</f>
        <v>0</v>
      </c>
      <c r="P665" s="496">
        <f t="shared" ref="P665:P667" si="280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IFERROR(__xludf.DUMMYFUNCTION("IMPORTRANGE(""https://docs.google.com/spreadsheets/d/1QqKyyYR6Q21VydFLVH3TRQUabQu_ym0Zz7PgGX0-kHA/edit?usp=sharing"",""แผน!IA36"")"),320)</f>
        <v>320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IFERROR(__xludf.DUMMYFUNCTION("IMPORTRANGE(""https://docs.google.com/spreadsheets/d/1QqKyyYR6Q21VydFLVH3TRQUabQu_ym0Zz7PgGX0-kHA/edit?usp=sharing"",""แผน!HZ36"")"),6)</f>
        <v>6</v>
      </c>
      <c r="J670" s="214">
        <v>6</v>
      </c>
      <c r="K670" s="496">
        <f ca="1">IF(I670&gt;0,(J670*100)/I670,0)</f>
        <v>100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IFERROR(__xludf.DUMMYFUNCTION("IMPORTRANGE(""https://docs.google.com/spreadsheets/d/1QqKyyYR6Q21VydFLVH3TRQUabQu_ym0Zz7PgGX0-kHA/edit?usp=sharing"",""แผน!HZ36"")"),6)</f>
        <v>6</v>
      </c>
      <c r="J671" s="214">
        <v>6</v>
      </c>
      <c r="K671" s="496">
        <f ca="1">IF(I$671&gt;0,J671*100/I$671,0)</f>
        <v>100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1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1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IFERROR(__xludf.DUMMYFUNCTION("IMPORTRANGE(""https://docs.google.com/spreadsheets/d/1QqKyyYR6Q21VydFLVH3TRQUabQu_ym0Zz7PgGX0-kHA/edit?usp=sharing"",""แผน!IB36"")"),0)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2">L686+L687</f>
        <v>5200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5"/>
        <v>5200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6">L689+L690</f>
        <v>5200</v>
      </c>
      <c r="M688" s="496">
        <f t="shared" si="286"/>
        <v>0</v>
      </c>
      <c r="N688" s="496">
        <f t="shared" si="286"/>
        <v>0</v>
      </c>
      <c r="O688" s="496">
        <f t="shared" ca="1" si="283"/>
        <v>0</v>
      </c>
      <c r="P688" s="496">
        <f t="shared" si="284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7">L696+L697</f>
        <v>0</v>
      </c>
      <c r="M695" s="496">
        <f t="shared" si="287"/>
        <v>0</v>
      </c>
      <c r="N695" s="496">
        <f t="shared" si="287"/>
        <v>0</v>
      </c>
      <c r="O695" s="496">
        <f t="shared" ref="O695:O697" si="288">IF(L695&gt;0,N695*100/L695,0)</f>
        <v>0</v>
      </c>
      <c r="P695" s="496">
        <f t="shared" ref="P695:P697" si="289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IFERROR(__xludf.DUMMYFUNCTION("IMPORTRANGE(""https://docs.google.com/spreadsheets/d/1QqKyyYR6Q21VydFLVH3TRQUabQu_ym0Zz7PgGX0-kHA/edit?usp=sharing"",""แผน!IC36"")"),0)</f>
        <v>0</v>
      </c>
      <c r="J699" s="269">
        <f ca="1">IFERROR(__xludf.DUMMYFUNCTION("IMPORTRANGE(""https://docs.google.com/spreadsheets/d/1XWAQStnk-4SwqDmLtmXYiTMKHgktTP8We1SCoS47DrQ/edit?usp=sharing"",""จัดที่ดิน!BB36"")"),0)</f>
        <v>0</v>
      </c>
      <c r="K699" s="496">
        <f t="shared" ref="K699:K701" ca="1" si="290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IFERROR(__xludf.DUMMYFUNCTION("IMPORTRANGE(""https://docs.google.com/spreadsheets/d/1QqKyyYR6Q21VydFLVH3TRQUabQu_ym0Zz7PgGX0-kHA/edit?usp=sharing"",""แผน!ID36"")"),35)</f>
        <v>35</v>
      </c>
      <c r="J700" s="269">
        <f ca="1">IFERROR(__xludf.DUMMYFUNCTION("IMPORTRANGE(""https://docs.google.com/spreadsheets/d/1XWAQStnk-4SwqDmLtmXYiTMKHgktTP8We1SCoS47DrQ/edit?usp=sharing"",""จัดที่ดิน!BD36"")"),0)</f>
        <v>0</v>
      </c>
      <c r="K700" s="496">
        <f t="shared" ca="1" si="290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IFERROR(__xludf.DUMMYFUNCTION("IMPORTRANGE(""https://docs.google.com/spreadsheets/d/1QqKyyYR6Q21VydFLVH3TRQUabQu_ym0Zz7PgGX0-kHA/edit?usp=sharing"",""แผน!IE36"")"),0)</f>
        <v>0</v>
      </c>
      <c r="J701" s="674">
        <f>J704+J707</f>
        <v>0</v>
      </c>
      <c r="K701" s="195">
        <f t="shared" ca="1" si="290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IFERROR(__xludf.DUMMYFUNCTION("IMPORTRANGE(""https://docs.google.com/spreadsheets/d/1QqKyyYR6Q21VydFLVH3TRQUabQu_ym0Zz7PgGX0-kHA/edit?usp=sharing"",""แผน!IF36"")"),0)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IFERROR(__xludf.DUMMYFUNCTION("IMPORTRANGE(""https://docs.google.com/spreadsheets/d/1QqKyyYR6Q21VydFLVH3TRQUabQu_ym0Zz7PgGX0-kHA/edit?usp=sharing"",""แผน!IG36"")"),0)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IFERROR(__xludf.DUMMYFUNCTION("IMPORTRANGE(""https://docs.google.com/spreadsheets/d/1QqKyyYR6Q21VydFLVH3TRQUabQu_ym0Zz7PgGX0-kHA/edit?usp=sharing"",""แผน!IH36"")"),0)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IFERROR(__xludf.DUMMYFUNCTION("IMPORTRANGE(""https://docs.google.com/spreadsheets/d/1XWAQStnk-4SwqDmLtmXYiTMKHgktTP8We1SCoS47DrQ/edit?usp=sharing"",""จัดที่ดิน!BF36"")"),0)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IFERROR(__xludf.DUMMYFUNCTION("IMPORTRANGE(""https://docs.google.com/spreadsheets/d/1XWAQStnk-4SwqDmLtmXYiTMKHgktTP8We1SCoS47DrQ/edit?usp=sharing"",""จัดที่ดิน!BG36"")"),0)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IFERROR(__xludf.DUMMYFUNCTION("IMPORTRANGE(""https://docs.google.com/spreadsheets/d/1QqKyyYR6Q21VydFLVH3TRQUabQu_ym0Zz7PgGX0-kHA/edit?usp=sharing"",""แผน!II36"")"),0)</f>
        <v>0</v>
      </c>
      <c r="J720" s="269">
        <f ca="1">IFERROR(__xludf.DUMMYFUNCTION("IMPORTRANGE(""https://docs.google.com/spreadsheets/d/1XWAQStnk-4SwqDmLtmXYiTMKHgktTP8We1SCoS47DrQ/edit?usp=sharing"",""จัดที่ดิน!BH36"")"),0)</f>
        <v>0</v>
      </c>
      <c r="K720" s="496">
        <f t="shared" ref="K720:K723" ca="1" si="291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IFERROR(__xludf.DUMMYFUNCTION("IMPORTRANGE(""https://docs.google.com/spreadsheets/d/1QqKyyYR6Q21VydFLVH3TRQUabQu_ym0Zz7PgGX0-kHA/edit?usp=sharing"",""แผน!IJ36"")"),0)</f>
        <v>0</v>
      </c>
      <c r="J721" s="674">
        <f ca="1">J723+J726</f>
        <v>0</v>
      </c>
      <c r="K721" s="195">
        <f t="shared" ca="1" si="291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IFERROR(__xludf.DUMMYFUNCTION("IMPORTRANGE(""https://docs.google.com/spreadsheets/d/1QqKyyYR6Q21VydFLVH3TRQUabQu_ym0Zz7PgGX0-kHA/edit?usp=sharing"",""แผน!IK36"")"),0)</f>
        <v>0</v>
      </c>
      <c r="J722" s="674">
        <f ca="1">J725+J728</f>
        <v>0</v>
      </c>
      <c r="K722" s="195">
        <f t="shared" ca="1" si="291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IFERROR(__xludf.DUMMYFUNCTION("IMPORTRANGE(""https://docs.google.com/spreadsheets/d/1QqKyyYR6Q21VydFLVH3TRQUabQu_ym0Zz7PgGX0-kHA/edit?usp=sharing"",""แผน!IL36"")"),0)</f>
        <v>0</v>
      </c>
      <c r="J723" s="269">
        <f ca="1">IFERROR(__xludf.DUMMYFUNCTION("IMPORTRANGE(""https://docs.google.com/spreadsheets/d/1XWAQStnk-4SwqDmLtmXYiTMKHgktTP8We1SCoS47DrQ/edit?usp=sharing"",""จัดที่ดิน!BM36"")"),0)</f>
        <v>0</v>
      </c>
      <c r="K723" s="496">
        <f t="shared" ca="1" si="291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IFERROR(__xludf.DUMMYFUNCTION("IMPORTRANGE(""https://docs.google.com/spreadsheets/d/1XWAQStnk-4SwqDmLtmXYiTMKHgktTP8We1SCoS47DrQ/edit?usp=sharing"",""จัดที่ดิน!BN36"")"),0)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IFERROR(__xludf.DUMMYFUNCTION("IMPORTRANGE(""https://docs.google.com/spreadsheets/d/1QqKyyYR6Q21VydFLVH3TRQUabQu_ym0Zz7PgGX0-kHA/edit?usp=sharing"",""แผน!IM36"")"),0)</f>
        <v>0</v>
      </c>
      <c r="J725" s="269">
        <f ca="1">IFERROR(__xludf.DUMMYFUNCTION("IMPORTRANGE(""https://docs.google.com/spreadsheets/d/1XWAQStnk-4SwqDmLtmXYiTMKHgktTP8We1SCoS47DrQ/edit?usp=sharing"",""จัดที่ดิน!BO36"")"),0)</f>
        <v>0</v>
      </c>
      <c r="K725" s="496">
        <f t="shared" ref="K725:K726" ca="1" si="292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IFERROR(__xludf.DUMMYFUNCTION("IMPORTRANGE(""https://docs.google.com/spreadsheets/d/1QqKyyYR6Q21VydFLVH3TRQUabQu_ym0Zz7PgGX0-kHA/edit?usp=sharing"",""แผน!IN36"")"),0)</f>
        <v>0</v>
      </c>
      <c r="J726" s="269">
        <f ca="1">IFERROR(__xludf.DUMMYFUNCTION("IMPORTRANGE(""https://docs.google.com/spreadsheets/d/1XWAQStnk-4SwqDmLtmXYiTMKHgktTP8We1SCoS47DrQ/edit?usp=sharing"",""จัดที่ดิน!BR36"")"),0)</f>
        <v>0</v>
      </c>
      <c r="K726" s="496">
        <f t="shared" ca="1" si="292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IFERROR(__xludf.DUMMYFUNCTION("IMPORTRANGE(""https://docs.google.com/spreadsheets/d/1XWAQStnk-4SwqDmLtmXYiTMKHgktTP8We1SCoS47DrQ/edit?usp=sharing"",""จัดที่ดิน!BS36"")"),0)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IFERROR(__xludf.DUMMYFUNCTION("IMPORTRANGE(""https://docs.google.com/spreadsheets/d/1QqKyyYR6Q21VydFLVH3TRQUabQu_ym0Zz7PgGX0-kHA/edit?usp=sharing"",""แผน!IO36"")"),0)</f>
        <v>0</v>
      </c>
      <c r="J728" s="269">
        <f ca="1">IFERROR(__xludf.DUMMYFUNCTION("IMPORTRANGE(""https://docs.google.com/spreadsheets/d/1XWAQStnk-4SwqDmLtmXYiTMKHgktTP8We1SCoS47DrQ/edit?usp=sharing"",""จัดที่ดิน!BT36"")"),0)</f>
        <v>0</v>
      </c>
      <c r="K728" s="496">
        <f t="shared" ref="K728:K729" ca="1" si="293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IFERROR(__xludf.DUMMYFUNCTION("IMPORTRANGE(""https://docs.google.com/spreadsheets/d/1QqKyyYR6Q21VydFLVH3TRQUabQu_ym0Zz7PgGX0-kHA/edit?usp=sharing"",""แผน!IP36"")"),0)</f>
        <v>0</v>
      </c>
      <c r="J729" s="674">
        <f>J732+J735</f>
        <v>0</v>
      </c>
      <c r="K729" s="195">
        <f t="shared" ca="1" si="293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4">L738+L739</f>
        <v>0</v>
      </c>
      <c r="M737" s="640">
        <f t="shared" si="294"/>
        <v>0</v>
      </c>
      <c r="N737" s="640">
        <f t="shared" si="294"/>
        <v>0</v>
      </c>
      <c r="O737" s="640">
        <f t="shared" ref="O737:O742" si="295">IF(L737&gt;0,N737*100/L737,0)</f>
        <v>0</v>
      </c>
      <c r="P737" s="640">
        <f t="shared" ref="P737:P742" si="296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8">L741+L742</f>
        <v>0</v>
      </c>
      <c r="M740" s="640">
        <f t="shared" si="298"/>
        <v>0</v>
      </c>
      <c r="N740" s="640">
        <f t="shared" si="298"/>
        <v>0</v>
      </c>
      <c r="O740" s="640">
        <f t="shared" si="295"/>
        <v>0</v>
      </c>
      <c r="P740" s="640">
        <f t="shared" si="296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9">L748+L749</f>
        <v>0</v>
      </c>
      <c r="M747" s="640">
        <f t="shared" si="299"/>
        <v>0</v>
      </c>
      <c r="N747" s="640">
        <f t="shared" si="299"/>
        <v>0</v>
      </c>
      <c r="O747" s="640">
        <f t="shared" ref="O747:O749" si="300">IF(L747&gt;0,N747*100/L747,0)</f>
        <v>0</v>
      </c>
      <c r="P747" s="640">
        <f t="shared" ref="P747:P749" si="301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2">L755+L756</f>
        <v>0</v>
      </c>
      <c r="M754" s="640">
        <f t="shared" si="302"/>
        <v>0</v>
      </c>
      <c r="N754" s="640">
        <f t="shared" si="302"/>
        <v>0</v>
      </c>
      <c r="O754" s="640">
        <f t="shared" ref="O754:O759" si="303">IF(L754&gt;0,N754*100/L754,0)</f>
        <v>0</v>
      </c>
      <c r="P754" s="640">
        <f t="shared" ref="P754:P759" si="304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6">L758+L759</f>
        <v>0</v>
      </c>
      <c r="M757" s="640">
        <f t="shared" si="306"/>
        <v>0</v>
      </c>
      <c r="N757" s="640">
        <f t="shared" si="306"/>
        <v>0</v>
      </c>
      <c r="O757" s="640">
        <f t="shared" si="303"/>
        <v>0</v>
      </c>
      <c r="P757" s="640">
        <f t="shared" si="304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7">L765+L766</f>
        <v>0</v>
      </c>
      <c r="M764" s="640">
        <f t="shared" si="307"/>
        <v>0</v>
      </c>
      <c r="N764" s="640">
        <f t="shared" si="307"/>
        <v>0</v>
      </c>
      <c r="O764" s="640">
        <f t="shared" ref="O764:O766" si="308">IF(L764&gt;0,N764*100/L764,0)</f>
        <v>0</v>
      </c>
      <c r="P764" s="640">
        <f t="shared" ref="P764:P766" si="309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10">L771+L772</f>
        <v>0</v>
      </c>
      <c r="M770" s="640">
        <f t="shared" si="310"/>
        <v>0</v>
      </c>
      <c r="N770" s="640">
        <f t="shared" si="310"/>
        <v>0</v>
      </c>
      <c r="O770" s="640">
        <f t="shared" ref="O770:O775" si="311">IF(L770&gt;0,N770*100/L770,0)</f>
        <v>0</v>
      </c>
      <c r="P770" s="640">
        <f t="shared" ref="P770:P775" si="312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4">L774+L775</f>
        <v>0</v>
      </c>
      <c r="M773" s="640">
        <f t="shared" si="314"/>
        <v>0</v>
      </c>
      <c r="N773" s="640">
        <f t="shared" si="314"/>
        <v>0</v>
      </c>
      <c r="O773" s="640">
        <f t="shared" si="311"/>
        <v>0</v>
      </c>
      <c r="P773" s="640">
        <f t="shared" si="312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5">L781+L782</f>
        <v>0</v>
      </c>
      <c r="M780" s="640">
        <f t="shared" si="315"/>
        <v>0</v>
      </c>
      <c r="N780" s="640">
        <f t="shared" si="315"/>
        <v>0</v>
      </c>
      <c r="O780" s="640">
        <f t="shared" ref="O780:O782" si="316">IF(L780&gt;0,N780*100/L780,0)</f>
        <v>0</v>
      </c>
      <c r="P780" s="640">
        <f t="shared" ref="P780:P782" si="317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8">I800</f>
        <v>5000</v>
      </c>
      <c r="J785" s="798">
        <f t="shared" ca="1" si="318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9">L787+L788</f>
        <v>335200</v>
      </c>
      <c r="M786" s="195">
        <f t="shared" si="319"/>
        <v>0</v>
      </c>
      <c r="N786" s="195">
        <f t="shared" si="319"/>
        <v>12566.57</v>
      </c>
      <c r="O786" s="195">
        <f t="shared" ref="O786:O791" ca="1" si="320">IF(L786&gt;0,N786*100/L786,0)</f>
        <v>3.7489767303102624</v>
      </c>
      <c r="P786" s="195">
        <f t="shared" ref="P786:P791" si="321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2"/>
        <v>335200</v>
      </c>
      <c r="M788" s="93">
        <f t="shared" si="322"/>
        <v>0</v>
      </c>
      <c r="N788" s="93">
        <f t="shared" si="322"/>
        <v>12566.57</v>
      </c>
      <c r="O788" s="93">
        <f t="shared" ca="1" si="320"/>
        <v>3.7489767303102624</v>
      </c>
      <c r="P788" s="93">
        <f t="shared" si="321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3">L790+L791</f>
        <v>335200</v>
      </c>
      <c r="M789" s="496">
        <f t="shared" si="323"/>
        <v>0</v>
      </c>
      <c r="N789" s="496">
        <f t="shared" si="323"/>
        <v>12566.57</v>
      </c>
      <c r="O789" s="496">
        <f t="shared" ca="1" si="320"/>
        <v>3.7489767303102624</v>
      </c>
      <c r="P789" s="496">
        <f t="shared" si="321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v>0</v>
      </c>
      <c r="N791" s="93">
        <f>N792+N793+N794+N795</f>
        <v>12566.57</v>
      </c>
      <c r="O791" s="93">
        <f t="shared" ca="1" si="320"/>
        <v>3.7489767303102624</v>
      </c>
      <c r="P791" s="93">
        <f t="shared" si="321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12566.57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4">L797+L798</f>
        <v>0</v>
      </c>
      <c r="M796" s="496">
        <f t="shared" si="324"/>
        <v>0</v>
      </c>
      <c r="N796" s="496">
        <f t="shared" si="324"/>
        <v>0</v>
      </c>
      <c r="O796" s="496">
        <f t="shared" ref="O796:O798" si="325">IF(L796&gt;0,N796*100/L796,0)</f>
        <v>0</v>
      </c>
      <c r="P796" s="496">
        <f t="shared" ref="P796:P798" si="326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IFERROR(__xludf.DUMMYFUNCTION("IMPORTRANGE(""https://docs.google.com/spreadsheets/d/1QqKyyYR6Q21VydFLVH3TRQUabQu_ym0Zz7PgGX0-kHA/edit?usp=sharing"",""แผน!JN36"")"),5000)</f>
        <v>5000</v>
      </c>
      <c r="J800" s="184">
        <f ca="1">IFERROR(__xludf.DUMMYFUNCTION("IMPORTRANGE(""https://docs.google.com/spreadsheets/d/1MaWodYyGHDf7siQLGxnXhG4mBNTNIuy296niS2xXulU/edit?usp=sharing"",""RTK!H36"")"),0)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IFERROR(__xludf.DUMMYFUNCTION("IMPORTRANGE(""https://docs.google.com/spreadsheets/d/1MaWodYyGHDf7siQLGxnXhG4mBNTNIuy296niS2xXulU/edit?usp=sharing"",""RTK!I36"")"),0)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7">L806+L807</f>
        <v>0</v>
      </c>
      <c r="M805" s="640">
        <f t="shared" si="327"/>
        <v>0</v>
      </c>
      <c r="N805" s="640">
        <f t="shared" si="327"/>
        <v>0</v>
      </c>
      <c r="O805" s="640">
        <f t="shared" ref="O805:O810" si="328">IF(L805&gt;0,N805*100/L805,0)</f>
        <v>0</v>
      </c>
      <c r="P805" s="640">
        <f t="shared" ref="P805:P810" si="329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1">L809+L810</f>
        <v>0</v>
      </c>
      <c r="M808" s="640">
        <f t="shared" si="331"/>
        <v>0</v>
      </c>
      <c r="N808" s="640">
        <f t="shared" si="331"/>
        <v>0</v>
      </c>
      <c r="O808" s="640">
        <f t="shared" si="328"/>
        <v>0</v>
      </c>
      <c r="P808" s="640">
        <f t="shared" si="329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2">L816+L817</f>
        <v>0</v>
      </c>
      <c r="M815" s="640">
        <f t="shared" si="332"/>
        <v>0</v>
      </c>
      <c r="N815" s="640">
        <f t="shared" si="332"/>
        <v>0</v>
      </c>
      <c r="O815" s="640">
        <f t="shared" ref="O815:O817" si="333">IF(L815&gt;0,N815*100/L815,0)</f>
        <v>0</v>
      </c>
      <c r="P815" s="640">
        <f t="shared" ref="P815:P817" si="334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IFERROR(__xludf.DUMMYFUNCTION("IMPORTRANGE(""https://docs.google.com/spreadsheets/d/19vJNZY_5yjcGF2XGBMNZRCAIB0Kwfpjp8YEOfu-bneM/edit?usp=sharing"",""งานกองทุน!D36"")"),15000000)</f>
        <v>15000000</v>
      </c>
      <c r="J821" s="269">
        <f ca="1">IFERROR(__xludf.DUMMYFUNCTION("IMPORTRANGE(""https://docs.google.com/spreadsheets/d/19vJNZY_5yjcGF2XGBMNZRCAIB0Kwfpjp8YEOfu-bneM/edit?usp=sharing"",""งานกองทุน!F36"")"),0)</f>
        <v>0</v>
      </c>
      <c r="K821" s="496">
        <f t="shared" ref="K821:K828" ca="1" si="335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IFERROR(__xludf.DUMMYFUNCTION("IMPORTRANGE(""https://docs.google.com/spreadsheets/d/19vJNZY_5yjcGF2XGBMNZRCAIB0Kwfpjp8YEOfu-bneM/edit?usp=sharing"",""งานกองทุน!C36"")"),391)</f>
        <v>391</v>
      </c>
      <c r="J822" s="269">
        <f ca="1">IFERROR(__xludf.DUMMYFUNCTION("IMPORTRANGE(""https://docs.google.com/spreadsheets/d/19vJNZY_5yjcGF2XGBMNZRCAIB0Kwfpjp8YEOfu-bneM/edit?usp=sharing"",""งานกองทุน!E36"")"),0)</f>
        <v>0</v>
      </c>
      <c r="K822" s="496">
        <f t="shared" ca="1" si="335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69">
        <f ca="1">IFERROR(__xludf.DUMMYFUNCTION("IMPORTRANGE(""https://docs.google.com/spreadsheets/d/19vJNZY_5yjcGF2XGBMNZRCAIB0Kwfpjp8YEOfu-bneM/edit?usp=sharing"",""งานกองทุน!K36"")"),35164.12)</f>
        <v>35164.120000000003</v>
      </c>
      <c r="K823" s="496">
        <f t="shared" ca="1" si="335"/>
        <v>0.47963520787028996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IFERROR(__xludf.DUMMYFUNCTION("IMPORTRANGE(""https://docs.google.com/spreadsheets/d/19vJNZY_5yjcGF2XGBMNZRCAIB0Kwfpjp8YEOfu-bneM/edit?usp=sharing"",""งานกองทุน!H36"")"),232)</f>
        <v>232</v>
      </c>
      <c r="J824" s="269">
        <f ca="1">IFERROR(__xludf.DUMMYFUNCTION("IMPORTRANGE(""https://docs.google.com/spreadsheets/d/19vJNZY_5yjcGF2XGBMNZRCAIB0Kwfpjp8YEOfu-bneM/edit?usp=sharing"",""งานกองทุน!J36"")"),6)</f>
        <v>6</v>
      </c>
      <c r="K824" s="496">
        <f t="shared" ca="1" si="335"/>
        <v>2.5862068965517242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IFERROR(__xludf.DUMMYFUNCTION("IMPORTRANGE(""https://docs.google.com/spreadsheets/d/19vJNZY_5yjcGF2XGBMNZRCAIB0Kwfpjp8YEOfu-bneM/edit?usp=sharing"",""งานกองทุน!N36"")"),51685.48)</f>
        <v>51685.48</v>
      </c>
      <c r="J825" s="269">
        <f ca="1">IFERROR(__xludf.DUMMYFUNCTION("IMPORTRANGE(""https://docs.google.com/spreadsheets/d/19vJNZY_5yjcGF2XGBMNZRCAIB0Kwfpjp8YEOfu-bneM/edit?usp=sharing"",""งานกองทุน!P36"")"),31127.96)</f>
        <v>31127.96</v>
      </c>
      <c r="K825" s="496">
        <f t="shared" ca="1" si="335"/>
        <v>60.225734577680228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IFERROR(__xludf.DUMMYFUNCTION("IMPORTRANGE(""https://docs.google.com/spreadsheets/d/19vJNZY_5yjcGF2XGBMNZRCAIB0Kwfpjp8YEOfu-bneM/edit?usp=sharing"",""งานกองทุน!M36"")"),268)</f>
        <v>268</v>
      </c>
      <c r="J826" s="269">
        <f ca="1">IFERROR(__xludf.DUMMYFUNCTION("IMPORTRANGE(""https://docs.google.com/spreadsheets/d/19vJNZY_5yjcGF2XGBMNZRCAIB0Kwfpjp8YEOfu-bneM/edit?usp=sharing"",""งานกองทุน!O36"")"),161)</f>
        <v>161</v>
      </c>
      <c r="K826" s="496">
        <f t="shared" ca="1" si="335"/>
        <v>60.07462686567164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IFERROR(__xludf.DUMMYFUNCTION("IMPORTRANGE(""https://docs.google.com/spreadsheets/d/19vJNZY_5yjcGF2XGBMNZRCAIB0Kwfpjp8YEOfu-bneM/edit?usp=sharing"",""งานกองทุน!S36"")"),11300000)</f>
        <v>11300000</v>
      </c>
      <c r="J827" s="269">
        <f ca="1">IFERROR(__xludf.DUMMYFUNCTION("IMPORTRANGE(""https://docs.google.com/spreadsheets/d/19vJNZY_5yjcGF2XGBMNZRCAIB0Kwfpjp8YEOfu-bneM/edit?usp=sharing"",""งานกองทุน!U36"")"),0)</f>
        <v>0</v>
      </c>
      <c r="K827" s="496">
        <f t="shared" ca="1" si="335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IFERROR(__xludf.DUMMYFUNCTION("IMPORTRANGE(""https://docs.google.com/spreadsheets/d/19vJNZY_5yjcGF2XGBMNZRCAIB0Kwfpjp8YEOfu-bneM/edit?usp=sharing"",""งานกองทุน!R36"")"),452)</f>
        <v>452</v>
      </c>
      <c r="J828" s="499">
        <f ca="1">IFERROR(__xludf.DUMMYFUNCTION("IMPORTRANGE(""https://docs.google.com/spreadsheets/d/19vJNZY_5yjcGF2XGBMNZRCAIB0Kwfpjp8YEOfu-bneM/edit?usp=sharing"",""งานกองทุน!T36"")"),22)</f>
        <v>22</v>
      </c>
      <c r="K828" s="500">
        <f t="shared" ca="1" si="335"/>
        <v>4.8672566371681416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28CFC-ECCE-4A61-9996-B779A1DBFAC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sqref="A1:P1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2.5703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340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8524967</v>
      </c>
      <c r="M8" s="21">
        <f t="shared" ca="1" si="0"/>
        <v>4047006</v>
      </c>
      <c r="N8" s="21">
        <f t="shared" ca="1" si="0"/>
        <v>834077.52</v>
      </c>
      <c r="O8" s="21">
        <f t="shared" ref="O8:O16" ca="1" si="1">IF(L8&gt;0,N8*100/L8,0)</f>
        <v>9.783938401169177</v>
      </c>
      <c r="P8" s="21">
        <f t="shared" ref="P8:P16" ca="1" si="2">IF(M8&gt;0,N8*100/M8,0)</f>
        <v>20.609742609721852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8524967</v>
      </c>
      <c r="M10" s="30">
        <f t="shared" ca="1" si="3"/>
        <v>4047006</v>
      </c>
      <c r="N10" s="30">
        <f t="shared" ca="1" si="3"/>
        <v>834077.52</v>
      </c>
      <c r="O10" s="30">
        <f t="shared" ca="1" si="1"/>
        <v>9.783938401169177</v>
      </c>
      <c r="P10" s="30">
        <f t="shared" ca="1" si="2"/>
        <v>20.609742609721852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6264767</v>
      </c>
      <c r="M11" s="496">
        <f t="shared" ca="1" si="4"/>
        <v>1786806</v>
      </c>
      <c r="N11" s="496">
        <f t="shared" ca="1" si="4"/>
        <v>533877.52</v>
      </c>
      <c r="O11" s="496">
        <f t="shared" ca="1" si="1"/>
        <v>8.5219054435703683</v>
      </c>
      <c r="P11" s="496">
        <f t="shared" ca="1" si="2"/>
        <v>29.878874371364322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6264767</v>
      </c>
      <c r="M13" s="93">
        <f t="shared" ca="1" si="5"/>
        <v>1786806</v>
      </c>
      <c r="N13" s="93">
        <f t="shared" ca="1" si="5"/>
        <v>533877.52</v>
      </c>
      <c r="O13" s="93">
        <f t="shared" ca="1" si="1"/>
        <v>8.5219054435703683</v>
      </c>
      <c r="P13" s="93">
        <f t="shared" ca="1" si="2"/>
        <v>29.878874371364322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2260200</v>
      </c>
      <c r="M14" s="496">
        <f t="shared" ca="1" si="6"/>
        <v>2260200</v>
      </c>
      <c r="N14" s="496">
        <f t="shared" ca="1" si="6"/>
        <v>300200</v>
      </c>
      <c r="O14" s="496">
        <f t="shared" ca="1" si="1"/>
        <v>13.282010441553846</v>
      </c>
      <c r="P14" s="496">
        <f t="shared" ca="1" si="2"/>
        <v>13.282010441553846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2260200</v>
      </c>
      <c r="N16" s="52">
        <f t="shared" ca="1" si="7"/>
        <v>300200</v>
      </c>
      <c r="O16" s="52">
        <f t="shared" ca="1" si="1"/>
        <v>13.282010441553846</v>
      </c>
      <c r="P16" s="52">
        <f t="shared" ca="1" si="2"/>
        <v>13.282010441553846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5737552</v>
      </c>
      <c r="M18" s="21">
        <f t="shared" ca="1" si="8"/>
        <v>4047006</v>
      </c>
      <c r="N18" s="21">
        <f t="shared" ca="1" si="8"/>
        <v>834077.52</v>
      </c>
      <c r="O18" s="21">
        <f t="shared" ref="O18:O26" ca="1" si="9">IF(L18&gt;0,N18*100/L18,0)</f>
        <v>14.537167070555526</v>
      </c>
      <c r="P18" s="21">
        <f t="shared" ref="P18:P26" ca="1" si="10">IF(M18&gt;0,N18*100/M18,0)</f>
        <v>20.609742609721852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4047006</v>
      </c>
      <c r="N20" s="30">
        <f t="shared" ca="1" si="11"/>
        <v>834077.52</v>
      </c>
      <c r="O20" s="30">
        <f t="shared" ca="1" si="9"/>
        <v>14.537167070555526</v>
      </c>
      <c r="P20" s="30">
        <f t="shared" ca="1" si="10"/>
        <v>20.609742609721852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3477352</v>
      </c>
      <c r="M21" s="496">
        <f t="shared" ca="1" si="12"/>
        <v>1786806</v>
      </c>
      <c r="N21" s="496">
        <f t="shared" ca="1" si="12"/>
        <v>533877.52</v>
      </c>
      <c r="O21" s="496">
        <f t="shared" ca="1" si="9"/>
        <v>15.352990436401031</v>
      </c>
      <c r="P21" s="496">
        <f t="shared" ca="1" si="10"/>
        <v>29.878874371364322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3477352</v>
      </c>
      <c r="M23" s="93">
        <f t="shared" ca="1" si="13"/>
        <v>1786806</v>
      </c>
      <c r="N23" s="93">
        <f t="shared" ca="1" si="13"/>
        <v>533877.52</v>
      </c>
      <c r="O23" s="93">
        <f t="shared" ca="1" si="9"/>
        <v>15.352990436401031</v>
      </c>
      <c r="P23" s="93">
        <f t="shared" ca="1" si="10"/>
        <v>29.878874371364322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2260200</v>
      </c>
      <c r="M24" s="496">
        <f t="shared" ca="1" si="14"/>
        <v>2260200</v>
      </c>
      <c r="N24" s="496">
        <f t="shared" ca="1" si="14"/>
        <v>300200</v>
      </c>
      <c r="O24" s="496">
        <f t="shared" ca="1" si="9"/>
        <v>13.282010441553846</v>
      </c>
      <c r="P24" s="496">
        <f t="shared" ca="1" si="10"/>
        <v>13.282010441553846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2260200</v>
      </c>
      <c r="N26" s="52">
        <f t="shared" ca="1" si="15"/>
        <v>300200</v>
      </c>
      <c r="O26" s="52">
        <f t="shared" ca="1" si="9"/>
        <v>13.282010441553846</v>
      </c>
      <c r="P26" s="52">
        <f t="shared" ca="1" si="10"/>
        <v>13.282010441553846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2787415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2787415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2787415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2787415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8">
        <f t="shared" ref="L37:N37" ca="1" si="24">L41+L53+L66+L88+L119+L132+L149+L165+L181+L261+L277+L298+L315+L328+L345+L389+L402</f>
        <v>5737552</v>
      </c>
      <c r="M37" s="58">
        <f t="shared" ca="1" si="24"/>
        <v>4047006</v>
      </c>
      <c r="N37" s="58">
        <f t="shared" ca="1" si="24"/>
        <v>834077.52</v>
      </c>
      <c r="O37" s="58">
        <f t="shared" ca="1" si="17"/>
        <v>14.537167070555526</v>
      </c>
      <c r="P37" s="58">
        <f t="shared" ca="1" si="18"/>
        <v>20.609742609721852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698242</v>
      </c>
      <c r="M41" s="84">
        <f t="shared" ca="1" si="25"/>
        <v>349742</v>
      </c>
      <c r="N41" s="84">
        <f t="shared" ca="1" si="25"/>
        <v>128242</v>
      </c>
      <c r="O41" s="84">
        <f t="shared" ref="O41:O49" ca="1" si="26">IF(L41&gt;0,N41*100/L41,0)</f>
        <v>18.366411645246203</v>
      </c>
      <c r="P41" s="84">
        <f t="shared" ref="P41:P49" ca="1" si="27">IF(M41&gt;0,N41*100/M41,0)</f>
        <v>36.667600688507527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349742</v>
      </c>
      <c r="N43" s="92">
        <f t="shared" ca="1" si="28"/>
        <v>128242</v>
      </c>
      <c r="O43" s="92">
        <f t="shared" ca="1" si="26"/>
        <v>18.366411645246203</v>
      </c>
      <c r="P43" s="92">
        <f t="shared" ca="1" si="27"/>
        <v>36.667600688507527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698242</v>
      </c>
      <c r="M44" s="496">
        <f t="shared" ca="1" si="29"/>
        <v>349742</v>
      </c>
      <c r="N44" s="496">
        <f t="shared" ca="1" si="29"/>
        <v>128242</v>
      </c>
      <c r="O44" s="496">
        <f t="shared" ca="1" si="26"/>
        <v>18.366411645246203</v>
      </c>
      <c r="P44" s="496">
        <f t="shared" ca="1" si="27"/>
        <v>36.667600688507527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IFERROR(__xludf.DUMMYFUNCTION("IMPORTRANGE(""https://docs.google.com/spreadsheets/d/1MeEWN-I1oV_STSDYn1IFDPWt_1FKiwhDph83XaGc0o0/edit?usp=sharing"",""งบพรบ!R37"")"),349742)</f>
        <v>349742</v>
      </c>
      <c r="N46" s="93">
        <f ca="1">IFERROR(__xludf.DUMMYFUNCTION("IMPORTRANGE(""https://docs.google.com/spreadsheets/d/1MeEWN-I1oV_STSDYn1IFDPWt_1FKiwhDph83XaGc0o0/edit?usp=sharing"",""งบพรบ!T37"")"),128242)</f>
        <v>128242</v>
      </c>
      <c r="O46" s="93">
        <f t="shared" ca="1" si="26"/>
        <v>18.366411645246203</v>
      </c>
      <c r="P46" s="93">
        <f t="shared" ca="1" si="27"/>
        <v>36.667600688507527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2736800</v>
      </c>
      <c r="M53" s="115">
        <f t="shared" ca="1" si="31"/>
        <v>2430700</v>
      </c>
      <c r="N53" s="115">
        <f t="shared" ca="1" si="31"/>
        <v>302392.52</v>
      </c>
      <c r="O53" s="115">
        <f t="shared" ref="O53:O61" ca="1" si="32">IF(L53&gt;0,N53*100/L53,0)</f>
        <v>11.049127448114586</v>
      </c>
      <c r="P53" s="115">
        <f t="shared" ref="P53:P61" ca="1" si="33">IF(M53&gt;0,N53*100/M53,0)</f>
        <v>12.440552927140329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2430700</v>
      </c>
      <c r="N55" s="123">
        <f t="shared" ca="1" si="34"/>
        <v>302392.52</v>
      </c>
      <c r="O55" s="123">
        <f t="shared" ca="1" si="32"/>
        <v>11.049127448114586</v>
      </c>
      <c r="P55" s="123">
        <f t="shared" ca="1" si="33"/>
        <v>12.440552927140329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612200</v>
      </c>
      <c r="M56" s="496">
        <f t="shared" ca="1" si="35"/>
        <v>306100</v>
      </c>
      <c r="N56" s="496">
        <f t="shared" ca="1" si="35"/>
        <v>137792.51999999999</v>
      </c>
      <c r="O56" s="496">
        <f t="shared" ca="1" si="32"/>
        <v>22.507762169225739</v>
      </c>
      <c r="P56" s="496">
        <f t="shared" ca="1" si="33"/>
        <v>45.015524338451478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IFERROR(__xludf.DUMMYFUNCTION("IMPORTRANGE(""https://docs.google.com/spreadsheets/d/1MeEWN-I1oV_STSDYn1IFDPWt_1FKiwhDph83XaGc0o0/edit?usp=sharing"",""งบพรบ!AB37"")"),306100)</f>
        <v>306100</v>
      </c>
      <c r="N58" s="93">
        <f ca="1">IFERROR(__xludf.DUMMYFUNCTION("IMPORTRANGE(""https://docs.google.com/spreadsheets/d/1MeEWN-I1oV_STSDYn1IFDPWt_1FKiwhDph83XaGc0o0/edit?usp=sharing"",""งบพรบ!AD37"")"),137792.52)</f>
        <v>137792.51999999999</v>
      </c>
      <c r="O58" s="93">
        <f t="shared" ca="1" si="32"/>
        <v>22.507762169225739</v>
      </c>
      <c r="P58" s="93">
        <f t="shared" ca="1" si="33"/>
        <v>45.015524338451478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2124600</v>
      </c>
      <c r="M59" s="496">
        <f t="shared" ca="1" si="36"/>
        <v>2124600</v>
      </c>
      <c r="N59" s="496">
        <f t="shared" ca="1" si="36"/>
        <v>164600</v>
      </c>
      <c r="O59" s="496">
        <f t="shared" ca="1" si="32"/>
        <v>7.747340675891933</v>
      </c>
      <c r="P59" s="496">
        <f t="shared" ca="1" si="33"/>
        <v>7.747340675891933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IFERROR(__xludf.DUMMYFUNCTION("IMPORTRANGE(""https://docs.google.com/spreadsheets/d/1MeEWN-I1oV_STSDYn1IFDPWt_1FKiwhDph83XaGc0o0/edit?usp=sharing"",""งบพรบ!AC37"")"),2124600)</f>
        <v>2124600</v>
      </c>
      <c r="N61" s="52">
        <f ca="1">IFERROR(__xludf.DUMMYFUNCTION("IMPORTRANGE(""https://docs.google.com/spreadsheets/d/1MeEWN-I1oV_STSDYn1IFDPWt_1FKiwhDph83XaGc0o0/edit?usp=sharing"",""งบพรบ!AE37"")"),164600)</f>
        <v>164600</v>
      </c>
      <c r="O61" s="52">
        <f t="shared" ca="1" si="32"/>
        <v>7.747340675891933</v>
      </c>
      <c r="P61" s="52">
        <f t="shared" ca="1" si="33"/>
        <v>7.747340675891933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0</v>
      </c>
      <c r="M69" s="496">
        <f t="shared" ca="1" si="43"/>
        <v>0</v>
      </c>
      <c r="N69" s="496">
        <f t="shared" ca="1" si="43"/>
        <v>0</v>
      </c>
      <c r="O69" s="496">
        <f t="shared" ca="1" si="40"/>
        <v>0</v>
      </c>
      <c r="P69" s="496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0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0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115640</v>
      </c>
      <c r="M88" s="155">
        <f t="shared" ca="1" si="49"/>
        <v>49590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115640</v>
      </c>
      <c r="M90" s="93">
        <f t="shared" ca="1" si="52"/>
        <v>49590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115640</v>
      </c>
      <c r="M91" s="496">
        <f t="shared" ca="1" si="53"/>
        <v>49590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IFERROR(__xludf.DUMMYFUNCTION("IMPORTRANGE(""https://docs.google.com/spreadsheets/d/1MeEWN-I1oV_STSDYn1IFDPWt_1FKiwhDph83XaGc0o0/edit?usp=sharing"",""งบพรบ!AV37"")"),49590)</f>
        <v>49590</v>
      </c>
      <c r="N93" s="93">
        <f ca="1">IFERROR(__xludf.DUMMYFUNCTION("IMPORTRANGE(""https://docs.google.com/spreadsheets/d/1MeEWN-I1oV_STSDYn1IFDPWt_1FKiwhDph83XaGc0o0/edit?usp=sharing"",""งบพรบ!AX37"")"),0)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IFERROR(__xludf.DUMMYFUNCTION("IMPORTRANGE(""https://docs.google.com/spreadsheets/d/1QqKyyYR6Q21VydFLVH3TRQUabQu_ym0Zz7PgGX0-kHA/edit?usp=sharing"",""แผน!K37"")"),30)</f>
        <v>30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IFERROR(__xludf.DUMMYFUNCTION("IMPORTRANGE(""https://docs.google.com/spreadsheets/d/1QqKyyYR6Q21VydFLVH3TRQUabQu_ym0Zz7PgGX0-kHA/edit?usp=sharing"",""แผน!L37"")"),10)</f>
        <v>10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IFERROR(__xludf.DUMMYFUNCTION("IMPORTRANGE(""https://docs.google.com/spreadsheets/d/1QqKyyYR6Q21VydFLVH3TRQUabQu_ym0Zz7PgGX0-kHA/edit?usp=sharing"",""แผน!M37"")"),3)</f>
        <v>3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IFERROR(__xludf.DUMMYFUNCTION("IMPORTRANGE(""https://docs.google.com/spreadsheets/d/1QqKyyYR6Q21VydFLVH3TRQUabQu_ym0Zz7PgGX0-kHA/edit?usp=sharing"",""แผน!N37"")"),30)</f>
        <v>30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IFERROR(__xludf.DUMMYFUNCTION("IMPORTRANGE(""https://docs.google.com/spreadsheets/d/1QqKyyYR6Q21VydFLVH3TRQUabQu_ym0Zz7PgGX0-kHA/edit?usp=sharing"",""แผน!O37"")"),10)</f>
        <v>10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IFERROR(__xludf.DUMMYFUNCTION("IMPORTRANGE(""https://docs.google.com/spreadsheets/d/1QqKyyYR6Q21VydFLVH3TRQUabQu_ym0Zz7PgGX0-kHA/edit?usp=sharing"",""แผน!O37"")"),10)</f>
        <v>10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IFERROR(__xludf.DUMMYFUNCTION("IMPORTRANGE(""https://docs.google.com/spreadsheets/d/1QqKyyYR6Q21VydFLVH3TRQUabQu_ym0Zz7PgGX0-kHA/edit?usp=sharing"",""แผน!P37"")"),2)</f>
        <v>2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IFERROR(__xludf.DUMMYFUNCTION("IMPORTRANGE(""https://docs.google.com/spreadsheets/d/1QqKyyYR6Q21VydFLVH3TRQUabQu_ym0Zz7PgGX0-kHA/edit?usp=sharing"",""แผน!P37"")"),2)</f>
        <v>2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IFERROR(__xludf.DUMMYFUNCTION("IMPORTRANGE(""https://docs.google.com/spreadsheets/d/1QqKyyYR6Q21VydFLVH3TRQUabQu_ym0Zz7PgGX0-kHA/edit?usp=sharing"",""แผน!Q37"")"),1)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IFERROR(__xludf.DUMMYFUNCTION("IMPORTRANGE(""https://docs.google.com/spreadsheets/d/1QqKyyYR6Q21VydFLVH3TRQUabQu_ym0Zz7PgGX0-kHA/edit?usp=sharing"",""แผน!Q37"")"),1)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IFERROR(__xludf.DUMMYFUNCTION("IMPORTRANGE(""https://docs.google.com/spreadsheets/d/1QqKyyYR6Q21VydFLVH3TRQUabQu_ym0Zz7PgGX0-kHA/edit?usp=sharing"",""แผน!U37"")"),0)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IFERROR(__xludf.DUMMYFUNCTION("IMPORTRANGE(""https://docs.google.com/spreadsheets/d/1QqKyyYR6Q21VydFLVH3TRQUabQu_ym0Zz7PgGX0-kHA/edit?usp=sharing"",""แผน!V37"")"),0)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IFERROR(__xludf.DUMMYFUNCTION("IMPORTRANGE(""https://docs.google.com/spreadsheets/d/1QqKyyYR6Q21VydFLVH3TRQUabQu_ym0Zz7PgGX0-kHA/edit?usp=sharing"",""แผน!W37"")"),0)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10000</v>
      </c>
      <c r="M152" s="496">
        <f t="shared" ca="1" si="81"/>
        <v>10000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IFERROR(__xludf.DUMMYFUNCTION("IMPORTRANGE(""https://docs.google.com/spreadsheets/d/1QqKyyYR6Q21VydFLVH3TRQUabQu_ym0Zz7PgGX0-kHA/edit?usp=sharing"",""แผน!X37"")"),20)</f>
        <v>20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12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IFERROR(__xludf.DUMMYFUNCTION("IMPORTRANGE(""https://docs.google.com/spreadsheets/d/1MeEWN-I1oV_STSDYn1IFDPWt_1FKiwhDph83XaGc0o0/edit?usp=sharing"",""งบพรบ!CJ37"")"),23060)</f>
        <v>23060</v>
      </c>
      <c r="N170" s="93">
        <f ca="1">IFERROR(__xludf.DUMMYFUNCTION("IMPORTRANGE(""https://docs.google.com/spreadsheets/d/1MeEWN-I1oV_STSDYn1IFDPWt_1FKiwhDph83XaGc0o0/edit?usp=sharing"",""งบพรบ!CL37"")"),0)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IFERROR(__xludf.DUMMYFUNCTION("IMPORTRANGE(""https://docs.google.com/spreadsheets/d/1QqKyyYR6Q21VydFLVH3TRQUabQu_ym0Zz7PgGX0-kHA/edit?usp=sharing"",""แผน!Y37"")"),12)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1">L182+L183</f>
        <v>134000</v>
      </c>
      <c r="M181" s="154">
        <f t="shared" ca="1" si="91"/>
        <v>75000</v>
      </c>
      <c r="N181" s="154">
        <f t="shared" ca="1" si="91"/>
        <v>0</v>
      </c>
      <c r="O181" s="154">
        <f t="shared" ref="O181:O189" ca="1" si="92">IF(L181&gt;0,N181*100/L181,0)</f>
        <v>0</v>
      </c>
      <c r="P181" s="154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134000</v>
      </c>
      <c r="M183" s="93">
        <f t="shared" ca="1" si="94"/>
        <v>75000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134000</v>
      </c>
      <c r="M184" s="496">
        <f t="shared" ca="1" si="95"/>
        <v>75000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IFERROR(__xludf.DUMMYFUNCTION("IMPORTRANGE(""https://docs.google.com/spreadsheets/d/1MeEWN-I1oV_STSDYn1IFDPWt_1FKiwhDph83XaGc0o0/edit?usp=sharing"",""งบพรบ!CT37"")"),75000)</f>
        <v>75000</v>
      </c>
      <c r="N186" s="93">
        <f ca="1">IFERROR(__xludf.DUMMYFUNCTION("IMPORTRANGE(""https://docs.google.com/spreadsheets/d/1MeEWN-I1oV_STSDYn1IFDPWt_1FKiwhDph83XaGc0o0/edit?usp=sharing"",""งบพรบ!CV37"")"),0)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IFERROR(__xludf.DUMMYFUNCTION("IMPORTRANGE(""https://docs.google.com/spreadsheets/d/1QqKyyYR6Q21VydFLVH3TRQUabQu_ym0Zz7PgGX0-kHA/edit?usp=sharing"",""แผน!AC37"")"),4)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36000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IFERROR(__xludf.DUMMYFUNCTION("IMPORTRANGE(""https://docs.google.com/spreadsheets/d/1QqKyyYR6Q21VydFLVH3TRQUabQu_ym0Zz7PgGX0-kHA/edit?usp=sharing"",""แผน!AE37"")"),2000)</f>
        <v>2000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IFERROR(__xludf.DUMMYFUNCTION("IMPORTRANGE(""https://docs.google.com/spreadsheets/d/1QqKyyYR6Q21VydFLVH3TRQUabQu_ym0Zz7PgGX0-kHA/edit?usp=sharing"",""แผน!AF37"")"),16000)</f>
        <v>16000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IFERROR(__xludf.DUMMYFUNCTION("IMPORTRANGE(""https://docs.google.com/spreadsheets/d/1QqKyyYR6Q21VydFLVH3TRQUabQu_ym0Zz7PgGX0-kHA/edit?usp=sharing"",""แผน!AG37"")"),8000)</f>
        <v>8000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IFERROR(__xludf.DUMMYFUNCTION("IMPORTRANGE(""https://docs.google.com/spreadsheets/d/1QqKyyYR6Q21VydFLVH3TRQUabQu_ym0Zz7PgGX0-kHA/edit?usp=sharing"",""แผน!AH37"")"),10000)</f>
        <v>10000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IFERROR(__xludf.DUMMYFUNCTION("IMPORTRANGE(""https://docs.google.com/spreadsheets/d/1QqKyyYR6Q21VydFLVH3TRQUabQu_ym0Zz7PgGX0-kHA/edit?usp=sharing"",""แผน!AI37"")"),2)</f>
        <v>2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2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6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84000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IFERROR(__xludf.DUMMYFUNCTION("IMPORTRANGE(""https://docs.google.com/spreadsheets/d/1QqKyyYR6Q21VydFLVH3TRQUabQu_ym0Zz7PgGX0-kHA/edit?usp=sharing"",""แผน!AK37"")"),6000)</f>
        <v>6000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IFERROR(__xludf.DUMMYFUNCTION("IMPORTRANGE(""https://docs.google.com/spreadsheets/d/1QqKyyYR6Q21VydFLVH3TRQUabQu_ym0Zz7PgGX0-kHA/edit?usp=sharing"",""แผน!AL37"")"),30000)</f>
        <v>30000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IFERROR(__xludf.DUMMYFUNCTION("IMPORTRANGE(""https://docs.google.com/spreadsheets/d/1QqKyyYR6Q21VydFLVH3TRQUabQu_ym0Zz7PgGX0-kHA/edit?usp=sharing"",""แผน!AM37"")"),48000)</f>
        <v>48000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IFERROR(__xludf.DUMMYFUNCTION("IMPORTRANGE(""https://docs.google.com/spreadsheets/d/1QqKyyYR6Q21VydFLVH3TRQUabQu_ym0Zz7PgGX0-kHA/edit?usp=sharing"",""แผน!AN37"")"),6)</f>
        <v>6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IFERROR(__xludf.DUMMYFUNCTION("IMPORTRANGE(""https://docs.google.com/spreadsheets/d/1QqKyyYR6Q21VydFLVH3TRQUabQu_ym0Zz7PgGX0-kHA/edit?usp=sharing"",""แผน!AN37"")"),6)</f>
        <v>6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20000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IFERROR(__xludf.DUMMYFUNCTION("IMPORTRANGE(""https://docs.google.com/spreadsheets/d/1QqKyyYR6Q21VydFLVH3TRQUabQu_ym0Zz7PgGX0-kHA/edit?usp=sharing"",""แผน!AP37"")"),3000)</f>
        <v>3000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IFERROR(__xludf.DUMMYFUNCTION("IMPORTRANGE(""https://docs.google.com/spreadsheets/d/1QqKyyYR6Q21VydFLVH3TRQUabQu_ym0Zz7PgGX0-kHA/edit?usp=sharing"",""แผน!AQ37"")"),5000)</f>
        <v>5000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IFERROR(__xludf.DUMMYFUNCTION("IMPORTRANGE(""https://docs.google.com/spreadsheets/d/1QqKyyYR6Q21VydFLVH3TRQUabQu_ym0Zz7PgGX0-kHA/edit?usp=sharing"",""แผน!AR37"")"),0)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IFERROR(__xludf.DUMMYFUNCTION("IMPORTRANGE(""https://docs.google.com/spreadsheets/d/1QqKyyYR6Q21VydFLVH3TRQUabQu_ym0Zz7PgGX0-kHA/edit?usp=sharing"",""แผน!AT37"")"),20000)</f>
        <v>20000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IFERROR(__xludf.DUMMYFUNCTION("IMPORTRANGE(""https://docs.google.com/spreadsheets/d/1QqKyyYR6Q21VydFLVH3TRQUabQu_ym0Zz7PgGX0-kHA/edit?usp=sharing"",""แผน!AT37"")"),20000)</f>
        <v>20000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IFERROR(__xludf.DUMMYFUNCTION("IMPORTRANGE(""https://docs.google.com/spreadsheets/d/1QqKyyYR6Q21VydFLVH3TRQUabQu_ym0Zz7PgGX0-kHA/edit?usp=sharing"",""แผน!AS37"")"),0)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IFERROR(__xludf.DUMMYFUNCTION("IMPORTRANGE(""https://docs.google.com/spreadsheets/d/1QqKyyYR6Q21VydFLVH3TRQUabQu_ym0Zz7PgGX0-kHA/edit?usp=sharing"",""แผน!AV37"")"),0)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IFERROR(__xludf.DUMMYFUNCTION("IMPORTRANGE(""https://docs.google.com/spreadsheets/d/1QqKyyYR6Q21VydFLVH3TRQUabQu_ym0Zz7PgGX0-kHA/edit?usp=sharing"",""แผน!AW37"")"),0)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IFERROR(__xludf.DUMMYFUNCTION("IMPORTRANGE(""https://docs.google.com/spreadsheets/d/1QqKyyYR6Q21VydFLVH3TRQUabQu_ym0Zz7PgGX0-kHA/edit?usp=sharing"",""แผน!AX37"")"),0)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IFERROR(__xludf.DUMMYFUNCTION("IMPORTRANGE(""https://docs.google.com/spreadsheets/d/1QqKyyYR6Q21VydFLVH3TRQUabQu_ym0Zz7PgGX0-kHA/edit?usp=sharing"",""แผน!AY37"")"),0)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IFERROR(__xludf.DUMMYFUNCTION("IMPORTRANGE(""https://docs.google.com/spreadsheets/d/1QqKyyYR6Q21VydFLVH3TRQUabQu_ym0Zz7PgGX0-kHA/edit?usp=sharing"",""แผน!BE37"")"),0)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IFERROR(__xludf.DUMMYFUNCTION("IMPORTRANGE(""https://docs.google.com/spreadsheets/d/1QqKyyYR6Q21VydFLVH3TRQUabQu_ym0Zz7PgGX0-kHA/edit?usp=sharing"",""แผน!AZ37"")"),0)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IFERROR(__xludf.DUMMYFUNCTION("IMPORTRANGE(""https://docs.google.com/spreadsheets/d/1QqKyyYR6Q21VydFLVH3TRQUabQu_ym0Zz7PgGX0-kHA/edit?usp=sharing"",""แผน!BA37"")"),0)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IFERROR(__xludf.DUMMYFUNCTION("IMPORTRANGE(""https://docs.google.com/spreadsheets/d/1QqKyyYR6Q21VydFLVH3TRQUabQu_ym0Zz7PgGX0-kHA/edit?usp=sharing"",""แผน!BB37"")"),0)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IFERROR(__xludf.DUMMYFUNCTION("IMPORTRANGE(""https://docs.google.com/spreadsheets/d/1QqKyyYR6Q21VydFLVH3TRQUabQu_ym0Zz7PgGX0-kHA/edit?usp=sharing"",""แผน!BC37"")"),0)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IFERROR(__xludf.DUMMYFUNCTION("IMPORTRANGE(""https://docs.google.com/spreadsheets/d/1QqKyyYR6Q21VydFLVH3TRQUabQu_ym0Zz7PgGX0-kHA/edit?usp=sharing"",""แผน!BF37"")"),0)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30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177500</v>
      </c>
      <c r="M261" s="155">
        <f t="shared" ca="1" si="115"/>
        <v>96500</v>
      </c>
      <c r="N261" s="155">
        <f t="shared" ca="1" si="115"/>
        <v>12000</v>
      </c>
      <c r="O261" s="155">
        <f t="shared" ref="O261:O269" ca="1" si="116">IF(L261&gt;0,N261*100/L261,0)</f>
        <v>6.76056338028169</v>
      </c>
      <c r="P261" s="155">
        <f t="shared" ref="P261:P269" ca="1" si="117">IF(M261&gt;0,N261*100/M261,0)</f>
        <v>12.435233160621761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177500</v>
      </c>
      <c r="M263" s="93">
        <f t="shared" ca="1" si="118"/>
        <v>96500</v>
      </c>
      <c r="N263" s="93">
        <f t="shared" ca="1" si="118"/>
        <v>12000</v>
      </c>
      <c r="O263" s="93">
        <f t="shared" ca="1" si="116"/>
        <v>6.76056338028169</v>
      </c>
      <c r="P263" s="93">
        <f t="shared" ca="1" si="117"/>
        <v>12.435233160621761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177500</v>
      </c>
      <c r="M264" s="496">
        <f t="shared" ca="1" si="119"/>
        <v>96500</v>
      </c>
      <c r="N264" s="496">
        <f t="shared" ca="1" si="119"/>
        <v>12000</v>
      </c>
      <c r="O264" s="496">
        <f t="shared" ca="1" si="116"/>
        <v>6.76056338028169</v>
      </c>
      <c r="P264" s="496">
        <f t="shared" ca="1" si="117"/>
        <v>12.435233160621761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IFERROR(__xludf.DUMMYFUNCTION("IMPORTRANGE(""https://docs.google.com/spreadsheets/d/1MeEWN-I1oV_STSDYn1IFDPWt_1FKiwhDph83XaGc0o0/edit?usp=sharing"",""งบพรบ!DD37"")"),96500)</f>
        <v>96500</v>
      </c>
      <c r="N266" s="93">
        <f ca="1">IFERROR(__xludf.DUMMYFUNCTION("IMPORTRANGE(""https://docs.google.com/spreadsheets/d/1MeEWN-I1oV_STSDYn1IFDPWt_1FKiwhDph83XaGc0o0/edit?usp=sharing"",""งบพรบ!DF37"")"),12000)</f>
        <v>12000</v>
      </c>
      <c r="O266" s="93">
        <f t="shared" ca="1" si="116"/>
        <v>6.76056338028169</v>
      </c>
      <c r="P266" s="93">
        <f t="shared" ca="1" si="117"/>
        <v>12.435233160621761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IFERROR(__xludf.DUMMYFUNCTION("IMPORTRANGE(""https://docs.google.com/spreadsheets/d/1QqKyyYR6Q21VydFLVH3TRQUabQu_ym0Zz7PgGX0-kHA/edit?usp=sharing"",""แผน!EA37"")"),30)</f>
        <v>30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10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100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198510</v>
      </c>
      <c r="M277" s="155">
        <f t="shared" ca="1" si="124"/>
        <v>95570</v>
      </c>
      <c r="N277" s="155">
        <f t="shared" ca="1" si="124"/>
        <v>47795</v>
      </c>
      <c r="O277" s="155">
        <f t="shared" ref="O277:O285" ca="1" si="125">IF(L277&gt;0,N277*100/L277,0)</f>
        <v>24.076872701627121</v>
      </c>
      <c r="P277" s="155">
        <f t="shared" ref="P277:P285" ca="1" si="126">IF(M277&gt;0,N277*100/M277,0)</f>
        <v>50.01046353458198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198510</v>
      </c>
      <c r="M279" s="93">
        <f t="shared" ca="1" si="127"/>
        <v>95570</v>
      </c>
      <c r="N279" s="93">
        <f t="shared" ca="1" si="127"/>
        <v>47795</v>
      </c>
      <c r="O279" s="93">
        <f t="shared" ca="1" si="125"/>
        <v>24.076872701627121</v>
      </c>
      <c r="P279" s="93">
        <f t="shared" ca="1" si="126"/>
        <v>50.01046353458198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198510</v>
      </c>
      <c r="M280" s="496">
        <f t="shared" ca="1" si="128"/>
        <v>95570</v>
      </c>
      <c r="N280" s="496">
        <f t="shared" ca="1" si="128"/>
        <v>47795</v>
      </c>
      <c r="O280" s="496">
        <f t="shared" ca="1" si="125"/>
        <v>24.076872701627121</v>
      </c>
      <c r="P280" s="496">
        <f t="shared" ca="1" si="126"/>
        <v>50.01046353458198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IFERROR(__xludf.DUMMYFUNCTION("IMPORTRANGE(""https://docs.google.com/spreadsheets/d/1MeEWN-I1oV_STSDYn1IFDPWt_1FKiwhDph83XaGc0o0/edit?usp=sharing"",""งบพรบ!DN37"")"),95570)</f>
        <v>95570</v>
      </c>
      <c r="N282" s="93">
        <f ca="1">IFERROR(__xludf.DUMMYFUNCTION("IMPORTRANGE(""https://docs.google.com/spreadsheets/d/1MeEWN-I1oV_STSDYn1IFDPWt_1FKiwhDph83XaGc0o0/edit?usp=sharing"",""งบพรบ!DP37"")"),47795)</f>
        <v>47795</v>
      </c>
      <c r="O282" s="93">
        <f t="shared" ca="1" si="125"/>
        <v>24.076872701627121</v>
      </c>
      <c r="P282" s="93">
        <f t="shared" ca="1" si="126"/>
        <v>50.01046353458198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IFERROR(__xludf.DUMMYFUNCTION("IMPORTRANGE(""https://docs.google.com/spreadsheets/d/1QqKyyYR6Q21VydFLVH3TRQUabQu_ym0Zz7PgGX0-kHA/edit?usp=sharing"",""แผน!EC37"")"),100)</f>
        <v>100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IFERROR(__xludf.DUMMYFUNCTION("IMPORTRANGE(""https://docs.google.com/spreadsheets/d/1QqKyyYR6Q21VydFLVH3TRQUabQu_ym0Zz7PgGX0-kHA/edit?usp=sharing"",""แผน!EB37"")"),10)</f>
        <v>10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IFERROR(__xludf.DUMMYFUNCTION("IMPORTRANGE(""https://docs.google.com/spreadsheets/d/1QqKyyYR6Q21VydFLVH3TRQUabQu_ym0Zz7PgGX0-kHA/edit?usp=sharing"",""แผน!EB37"")"),10)</f>
        <v>10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0</v>
      </c>
      <c r="M301" s="496">
        <f t="shared" ca="1" si="138"/>
        <v>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IFERROR(__xludf.DUMMYFUNCTION("IMPORTRANGE(""https://docs.google.com/spreadsheets/d/1QqKyyYR6Q21VydFLVH3TRQUabQu_ym0Zz7PgGX0-kHA/edit?usp=sharing"",""แผน!ED37"")"),0)</f>
        <v>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IFERROR(__xludf.DUMMYFUNCTION("IMPORTRANGE(""https://docs.google.com/spreadsheets/d/1QqKyyYR6Q21VydFLVH3TRQUabQu_ym0Zz7PgGX0-kHA/edit?usp=sharing"",""แผน!ED37"")"),0)</f>
        <v>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IFERROR(__xludf.DUMMYFUNCTION("IMPORTRANGE(""https://docs.google.com/spreadsheets/d/1QqKyyYR6Q21VydFLVH3TRQUabQu_ym0Zz7PgGX0-kHA/edit?usp=sharing"",""แผน!ED37"")"),0)</f>
        <v>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IFERROR(__xludf.DUMMYFUNCTION("IMPORTRANGE(""https://docs.google.com/spreadsheets/d/1QqKyyYR6Q21VydFLVH3TRQUabQu_ym0Zz7PgGX0-kHA/edit?usp=sharing"",""แผน!EE37"")"),0)</f>
        <v>0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IFERROR(__xludf.DUMMYFUNCTION("IMPORTRANGE(""https://docs.google.com/spreadsheets/d/1QqKyyYR6Q21VydFLVH3TRQUabQu_ym0Zz7PgGX0-kHA/edit?usp=sharing"",""แผน!EF37"")"),0)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IFERROR(__xludf.DUMMYFUNCTION("IMPORTRANGE(""https://docs.google.com/spreadsheets/d/1QqKyyYR6Q21VydFLVH3TRQUabQu_ym0Zz7PgGX0-kHA/edit?usp=sharing"",""แผน!EG37"")"),3600)</f>
        <v>3600</v>
      </c>
      <c r="J327" s="443">
        <f ca="1">J338+J341+J342+J343</f>
        <v>341</v>
      </c>
      <c r="K327" s="444">
        <f ca="1">IF(I327&gt;0,J327*100/I327,0)</f>
        <v>9.4722222222222214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179000</v>
      </c>
      <c r="M328" s="155">
        <f t="shared" ca="1" si="148"/>
        <v>89500</v>
      </c>
      <c r="N328" s="155">
        <f t="shared" ca="1" si="148"/>
        <v>23420</v>
      </c>
      <c r="O328" s="155">
        <f t="shared" ref="O328:O336" ca="1" si="149">IF(L328&gt;0,N328*100/L328,0)</f>
        <v>13.083798882681565</v>
      </c>
      <c r="P328" s="155">
        <f t="shared" ref="P328:P336" ca="1" si="150">IF(M328&gt;0,N328*100/M328,0)</f>
        <v>26.16759776536313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179000</v>
      </c>
      <c r="M330" s="93">
        <f t="shared" ca="1" si="151"/>
        <v>89500</v>
      </c>
      <c r="N330" s="93">
        <f t="shared" ca="1" si="151"/>
        <v>23420</v>
      </c>
      <c r="O330" s="93">
        <f t="shared" ca="1" si="149"/>
        <v>13.083798882681565</v>
      </c>
      <c r="P330" s="93">
        <f t="shared" ca="1" si="150"/>
        <v>26.16759776536313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179000</v>
      </c>
      <c r="M331" s="496">
        <f t="shared" ca="1" si="152"/>
        <v>89500</v>
      </c>
      <c r="N331" s="496">
        <f t="shared" ca="1" si="152"/>
        <v>23420</v>
      </c>
      <c r="O331" s="496">
        <f t="shared" ca="1" si="149"/>
        <v>13.083798882681565</v>
      </c>
      <c r="P331" s="496">
        <f t="shared" ca="1" si="150"/>
        <v>26.16759776536313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IFERROR(__xludf.DUMMYFUNCTION("IMPORTRANGE(""https://docs.google.com/spreadsheets/d/1MeEWN-I1oV_STSDYn1IFDPWt_1FKiwhDph83XaGc0o0/edit?usp=sharing"",""งบพรบ!ER37"")"),89500)</f>
        <v>89500</v>
      </c>
      <c r="N333" s="93">
        <f ca="1">IFERROR(__xludf.DUMMYFUNCTION("IMPORTRANGE(""https://docs.google.com/spreadsheets/d/1MeEWN-I1oV_STSDYn1IFDPWt_1FKiwhDph83XaGc0o0/edit?usp=sharing"",""งบพรบ!ET37"")"),23420)</f>
        <v>23420</v>
      </c>
      <c r="O333" s="93">
        <f t="shared" ca="1" si="149"/>
        <v>13.083798882681565</v>
      </c>
      <c r="P333" s="93">
        <f t="shared" ca="1" si="150"/>
        <v>26.16759776536313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IFERROR(__xludf.DUMMYFUNCTION("IMPORTRANGE(""https://docs.google.com/spreadsheets/d/1QqKyyYR6Q21VydFLVH3TRQUabQu_ym0Zz7PgGX0-kHA/edit?usp=sharing"",""แผน!EG37"")"),3600)</f>
        <v>3600</v>
      </c>
      <c r="J338" s="269">
        <f ca="1">IFERROR(__xludf.DUMMYFUNCTION("IMPORTRANGE(""https://docs.google.com/spreadsheets/d/1kVcqe37tkHyjCSG3S0O1AXqVkqjo8mSIZil3BcpIysc/edit?usp=sharing"",""ศูนย์!D37"")"),341)</f>
        <v>341</v>
      </c>
      <c r="K338" s="496">
        <f ca="1">IF(I338&gt;0,J338*100/I338,0)</f>
        <v>9.4722222222222214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IFERROR(__xludf.DUMMYFUNCTION("IMPORTRANGE(""https://docs.google.com/spreadsheets/d/1QqKyyYR6Q21VydFLVH3TRQUabQu_ym0Zz7PgGX0-kHA/edit?usp=sharing"",""แผน!EH37"")"),8)</f>
        <v>8</v>
      </c>
      <c r="J340" s="269">
        <f ca="1">IFERROR(__xludf.DUMMYFUNCTION("IMPORTRANGE(""https://docs.google.com/spreadsheets/d/1kVcqe37tkHyjCSG3S0O1AXqVkqjo8mSIZil3BcpIysc/edit?usp=sharing"",""ศูนย์!E37"")"),0)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IFERROR(__xludf.DUMMYFUNCTION("IMPORTRANGE(""https://docs.google.com/spreadsheets/d/1kVcqe37tkHyjCSG3S0O1AXqVkqjo8mSIZil3BcpIysc/edit?usp=sharing"",""ศูนย์!F37"")"),0)</f>
        <v>0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IFERROR(__xludf.DUMMYFUNCTION("IMPORTRANGE(""https://docs.google.com/spreadsheets/d/1kVcqe37tkHyjCSG3S0O1AXqVkqjo8mSIZil3BcpIysc/edit?usp=sharing"",""ศูนย์!G37"")"),0)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IFERROR(__xludf.DUMMYFUNCTION("IMPORTRANGE(""https://docs.google.com/spreadsheets/d/1kVcqe37tkHyjCSG3S0O1AXqVkqjo8mSIZil3BcpIysc/edit?usp=sharing"",""ศูนย์!H37"")"),0)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1464800</v>
      </c>
      <c r="M345" s="155">
        <f t="shared" ca="1" si="154"/>
        <v>827344</v>
      </c>
      <c r="N345" s="155">
        <f t="shared" ca="1" si="154"/>
        <v>320228</v>
      </c>
      <c r="O345" s="155">
        <f t="shared" ref="O345:O353" ca="1" si="155">IF(L345&gt;0,N345*100/L345,0)</f>
        <v>21.861551064991808</v>
      </c>
      <c r="P345" s="155">
        <f t="shared" ref="P345:P353" ca="1" si="156">IF(M345&gt;0,N345*100/M345,0)</f>
        <v>38.705544489353883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1464800</v>
      </c>
      <c r="M347" s="93">
        <f t="shared" ca="1" si="157"/>
        <v>827344</v>
      </c>
      <c r="N347" s="93">
        <f t="shared" ca="1" si="157"/>
        <v>320228</v>
      </c>
      <c r="O347" s="93">
        <f t="shared" ca="1" si="155"/>
        <v>21.861551064991808</v>
      </c>
      <c r="P347" s="93">
        <f t="shared" ca="1" si="156"/>
        <v>38.705544489353883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1329200</v>
      </c>
      <c r="M348" s="496">
        <f t="shared" ca="1" si="158"/>
        <v>691744</v>
      </c>
      <c r="N348" s="496">
        <f t="shared" ca="1" si="158"/>
        <v>184628</v>
      </c>
      <c r="O348" s="496">
        <f t="shared" ca="1" si="155"/>
        <v>13.890159494432741</v>
      </c>
      <c r="P348" s="496">
        <f t="shared" ca="1" si="156"/>
        <v>26.690220659666004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IFERROR(__xludf.DUMMYFUNCTION("IMPORTRANGE(""https://docs.google.com/spreadsheets/d/1MeEWN-I1oV_STSDYn1IFDPWt_1FKiwhDph83XaGc0o0/edit?usp=sharing"",""งบพรบ!FB37"")"),691744)</f>
        <v>691744</v>
      </c>
      <c r="N350" s="93">
        <f ca="1">IFERROR(__xludf.DUMMYFUNCTION("IMPORTRANGE(""https://docs.google.com/spreadsheets/d/1MeEWN-I1oV_STSDYn1IFDPWt_1FKiwhDph83XaGc0o0/edit?usp=sharing"",""งบพรบ!FD37"")"),184628)</f>
        <v>184628</v>
      </c>
      <c r="O350" s="93">
        <f t="shared" ca="1" si="155"/>
        <v>13.890159494432741</v>
      </c>
      <c r="P350" s="93">
        <f t="shared" ca="1" si="156"/>
        <v>26.690220659666004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135600</v>
      </c>
      <c r="M351" s="496">
        <f t="shared" ca="1" si="159"/>
        <v>135600</v>
      </c>
      <c r="N351" s="496">
        <f t="shared" ca="1" si="159"/>
        <v>135600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IFERROR(__xludf.DUMMYFUNCTION("IMPORTRANGE(""https://docs.google.com/spreadsheets/d/1QqKyyYR6Q21VydFLVH3TRQUabQu_ym0Zz7PgGX0-kHA/edit?usp=sharing"",""แผน!EP37"")"),620)</f>
        <v>620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IFERROR(__xludf.DUMMYFUNCTION("IMPORTRANGE(""https://docs.google.com/spreadsheets/d/1XWAQStnk-4SwqDmLtmXYiTMKHgktTP8We1SCoS47DrQ/edit?usp=sharing"",""จัดที่ดิน!W37"")"),28)</f>
        <v>28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IFERROR(__xludf.DUMMYFUNCTION("IMPORTRANGE(""https://docs.google.com/spreadsheets/d/1QqKyyYR6Q21VydFLVH3TRQUabQu_ym0Zz7PgGX0-kHA/edit?usp=sharing"",""แผน!EO37"")"),6300)</f>
        <v>6300</v>
      </c>
      <c r="J359" s="269">
        <f ca="1">IFERROR(__xludf.DUMMYFUNCTION("IMPORTRANGE(""https://docs.google.com/spreadsheets/d/1XWAQStnk-4SwqDmLtmXYiTMKHgktTP8We1SCoS47DrQ/edit?usp=sharing"",""จัดที่ดิน!X37"")"),295.98)</f>
        <v>295.98</v>
      </c>
      <c r="K359" s="496">
        <f t="shared" ca="1" si="160"/>
        <v>4.6980952380952381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IFERROR(__xludf.DUMMYFUNCTION("IMPORTRANGE(""https://docs.google.com/spreadsheets/d/1QqKyyYR6Q21VydFLVH3TRQUabQu_ym0Zz7PgGX0-kHA/edit?usp=sharing"",""แผน!EP37"")"),620)</f>
        <v>620</v>
      </c>
      <c r="J360" s="269">
        <f ca="1">IFERROR(__xludf.DUMMYFUNCTION("IMPORTRANGE(""https://docs.google.com/spreadsheets/d/1XWAQStnk-4SwqDmLtmXYiTMKHgktTP8We1SCoS47DrQ/edit?usp=sharing"",""จัดที่ดิน!Y37"")"),0)</f>
        <v>0</v>
      </c>
      <c r="K360" s="496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IFERROR(__xludf.DUMMYFUNCTION("IMPORTRANGE(""https://docs.google.com/spreadsheets/d/1XWAQStnk-4SwqDmLtmXYiTMKHgktTP8We1SCoS47DrQ/edit?usp=sharing"",""จัดที่ดิน!Z37"")"),0)</f>
        <v>0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IFERROR(__xludf.DUMMYFUNCTION("IMPORTRANGE(""https://docs.google.com/spreadsheets/d/1QqKyyYR6Q21VydFLVH3TRQUabQu_ym0Zz7PgGX0-kHA/edit?usp=sharing"",""แผน!EP37"")"),620)</f>
        <v>620</v>
      </c>
      <c r="J362" s="269">
        <f ca="1">IFERROR(__xludf.DUMMYFUNCTION("IMPORTRANGE(""https://docs.google.com/spreadsheets/d/1XWAQStnk-4SwqDmLtmXYiTMKHgktTP8We1SCoS47DrQ/edit?usp=sharing"",""จัดที่ดิน!AA37"")"),0)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IFERROR(__xludf.DUMMYFUNCTION("IMPORTRANGE(""https://docs.google.com/spreadsheets/d/1XWAQStnk-4SwqDmLtmXYiTMKHgktTP8We1SCoS47DrQ/edit?usp=sharing"",""จัดที่ดิน!AB37"")"),0)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1520</v>
      </c>
      <c r="J364" s="477">
        <f t="shared" ca="1" si="161"/>
        <v>0</v>
      </c>
      <c r="K364" s="478">
        <f t="shared" ca="1" si="160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IFERROR(__xludf.DUMMYFUNCTION("IMPORTRANGE(""https://docs.google.com/spreadsheets/d/1QqKyyYR6Q21VydFLVH3TRQUabQu_ym0Zz7PgGX0-kHA/edit?usp=sharing"",""แผน!EJ37"")"),20)</f>
        <v>20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IFERROR(__xludf.DUMMYFUNCTION("IMPORTRANGE(""https://docs.google.com/spreadsheets/d/1XWAQStnk-4SwqDmLtmXYiTMKHgktTP8We1SCoS47DrQ/edit?usp=sharing"",""จัดที่ดิน!E37"")"),7)</f>
        <v>7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IFERROR(__xludf.DUMMYFUNCTION("IMPORTRANGE(""https://docs.google.com/spreadsheets/d/1QqKyyYR6Q21VydFLVH3TRQUabQu_ym0Zz7PgGX0-kHA/edit?usp=sharing"",""แผน!EI37"")"),300)</f>
        <v>300</v>
      </c>
      <c r="J369" s="269">
        <f ca="1">IFERROR(__xludf.DUMMYFUNCTION("IMPORTRANGE(""https://docs.google.com/spreadsheets/d/1XWAQStnk-4SwqDmLtmXYiTMKHgktTP8We1SCoS47DrQ/edit?usp=sharing"",""จัดที่ดิน!F37"")"),81.41)</f>
        <v>81.41</v>
      </c>
      <c r="K369" s="496">
        <f t="shared" ca="1" si="162"/>
        <v>27.136666666666667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IFERROR(__xludf.DUMMYFUNCTION("IMPORTRANGE(""https://docs.google.com/spreadsheets/d/1QqKyyYR6Q21VydFLVH3TRQUabQu_ym0Zz7PgGX0-kHA/edit?usp=sharing"",""แผน!EJ37"")"),20)</f>
        <v>20</v>
      </c>
      <c r="J370" s="269">
        <f ca="1">IFERROR(__xludf.DUMMYFUNCTION("IMPORTRANGE(""https://docs.google.com/spreadsheets/d/1XWAQStnk-4SwqDmLtmXYiTMKHgktTP8We1SCoS47DrQ/edit?usp=sharing"",""จัดที่ดิน!G37"")"),0)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IFERROR(__xludf.DUMMYFUNCTION("IMPORTRANGE(""https://docs.google.com/spreadsheets/d/1XWAQStnk-4SwqDmLtmXYiTMKHgktTP8We1SCoS47DrQ/edit?usp=sharing"",""จัดที่ดิน!H37"")"),0)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IFERROR(__xludf.DUMMYFUNCTION("IMPORTRANGE(""https://docs.google.com/spreadsheets/d/1QqKyyYR6Q21VydFLVH3TRQUabQu_ym0Zz7PgGX0-kHA/edit?usp=sharing"",""แผน!EJ37"")"),20)</f>
        <v>20</v>
      </c>
      <c r="J372" s="269">
        <f ca="1">IFERROR(__xludf.DUMMYFUNCTION("IMPORTRANGE(""https://docs.google.com/spreadsheets/d/1XWAQStnk-4SwqDmLtmXYiTMKHgktTP8We1SCoS47DrQ/edit?usp=sharing"",""จัดที่ดิน!I37"")"),0)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IFERROR(__xludf.DUMMYFUNCTION("IMPORTRANGE(""https://docs.google.com/spreadsheets/d/1XWAQStnk-4SwqDmLtmXYiTMKHgktTP8We1SCoS47DrQ/edit?usp=sharing"",""จัดที่ดิน!J37"")"),0)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IFERROR(__xludf.DUMMYFUNCTION("IMPORTRANGE(""https://docs.google.com/spreadsheets/d/1QqKyyYR6Q21VydFLVH3TRQUabQu_ym0Zz7PgGX0-kHA/edit?usp=sharing"",""แผน!EU37"")"),1500)</f>
        <v>1500</v>
      </c>
      <c r="J374" s="489">
        <f ca="1">J381</f>
        <v>0</v>
      </c>
      <c r="K374" s="490">
        <f t="shared" ca="1" si="162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IFERROR(__xludf.DUMMYFUNCTION("IMPORTRANGE(""https://docs.google.com/spreadsheets/d/1XWAQStnk-4SwqDmLtmXYiTMKHgktTP8We1SCoS47DrQ/edit?usp=sharing"",""จัดที่ดิน!AH37"")"),21)</f>
        <v>21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IFERROR(__xludf.DUMMYFUNCTION("IMPORTRANGE(""https://docs.google.com/spreadsheets/d/1QqKyyYR6Q21VydFLVH3TRQUabQu_ym0Zz7PgGX0-kHA/edit?usp=sharing"",""แผน!ET37"")"),6000)</f>
        <v>6000</v>
      </c>
      <c r="J378" s="269">
        <f ca="1">IFERROR(__xludf.DUMMYFUNCTION("IMPORTRANGE(""https://docs.google.com/spreadsheets/d/1XWAQStnk-4SwqDmLtmXYiTMKHgktTP8We1SCoS47DrQ/edit?usp=sharing"",""จัดที่ดิน!AI37"")"),214.57)</f>
        <v>214.57</v>
      </c>
      <c r="K378" s="496">
        <f t="shared" ca="1" si="163"/>
        <v>3.5761666666666665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IFERROR(__xludf.DUMMYFUNCTION("IMPORTRANGE(""https://docs.google.com/spreadsheets/d/1QqKyyYR6Q21VydFLVH3TRQUabQu_ym0Zz7PgGX0-kHA/edit?usp=sharing"",""แผน!EU37"")"),1500)</f>
        <v>1500</v>
      </c>
      <c r="J379" s="269">
        <f ca="1">IFERROR(__xludf.DUMMYFUNCTION("IMPORTRANGE(""https://docs.google.com/spreadsheets/d/1XWAQStnk-4SwqDmLtmXYiTMKHgktTP8We1SCoS47DrQ/edit?usp=sharing"",""จัดที่ดิน!AJ37"")"),44)</f>
        <v>44</v>
      </c>
      <c r="K379" s="496">
        <f t="shared" ca="1" si="163"/>
        <v>2.9333333333333331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IFERROR(__xludf.DUMMYFUNCTION("IMPORTRANGE(""https://docs.google.com/spreadsheets/d/1XWAQStnk-4SwqDmLtmXYiTMKHgktTP8We1SCoS47DrQ/edit?usp=sharing"",""จัดที่ดิน!AK37"")"),823.32)</f>
        <v>823.32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IFERROR(__xludf.DUMMYFUNCTION("IMPORTRANGE(""https://docs.google.com/spreadsheets/d/1QqKyyYR6Q21VydFLVH3TRQUabQu_ym0Zz7PgGX0-kHA/edit?usp=sharing"",""แผน!EU37"")"),1500)</f>
        <v>1500</v>
      </c>
      <c r="J381" s="269">
        <f ca="1">IFERROR(__xludf.DUMMYFUNCTION("IMPORTRANGE(""https://docs.google.com/spreadsheets/d/1XWAQStnk-4SwqDmLtmXYiTMKHgktTP8We1SCoS47DrQ/edit?usp=sharing"",""จัดที่ดิน!AL37"")"),0)</f>
        <v>0</v>
      </c>
      <c r="K381" s="496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IFERROR(__xludf.DUMMYFUNCTION("IMPORTRANGE(""https://docs.google.com/spreadsheets/d/1XWAQStnk-4SwqDmLtmXYiTMKHgktTP8We1SCoS47DrQ/edit?usp=sharing"",""จัดที่ดิน!AM37"")"),0)</f>
        <v>0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IFERROR(__xludf.DUMMYFUNCTION("IMPORTRANGE(""https://docs.google.com/spreadsheets/d/1QqKyyYR6Q21VydFLVH3TRQUabQu_ym0Zz7PgGX0-kHA/edit?usp=sharing"",""แผน!EW37"")"),186)</f>
        <v>186</v>
      </c>
      <c r="J385" s="499">
        <f ca="1">IFERROR(__xludf.DUMMYFUNCTION("IMPORTRANGE(""https://docs.google.com/spreadsheets/d/1XWAQStnk-4SwqDmLtmXYiTMKHgktTP8We1SCoS47DrQ/edit?usp=sharing"",""จัดที่ดิน!AP37"")"),0)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2787415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15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66760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66760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66760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15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IFERROR(__xludf.DUMMYFUNCTION("IMPORTRANGE(""https://docs.google.com/spreadsheets/d/1QqKyyYR6Q21VydFLVH3TRQUabQu_ym0Zz7PgGX0-kHA/edit?usp=sharing"",""แผน!FC37"")"),15)</f>
        <v>15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IFERROR(__xludf.DUMMYFUNCTION("IMPORTRANGE(""https://docs.google.com/spreadsheets/d/1QqKyyYR6Q21VydFLVH3TRQUabQu_ym0Zz7PgGX0-kHA/edit?usp=sharing"",""แผน!FD37"")"),0)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IFERROR(__xludf.DUMMYFUNCTION("IMPORTRANGE(""https://docs.google.com/spreadsheets/d/1QqKyyYR6Q21VydFLVH3TRQUabQu_ym0Zz7PgGX0-kHA/edit?usp=sharing"",""แผน!FE37"")"),0)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IFERROR(__xludf.DUMMYFUNCTION("IMPORTRANGE(""https://docs.google.com/spreadsheets/d/1QqKyyYR6Q21VydFLVH3TRQUabQu_ym0Zz7PgGX0-kHA/edit?usp=sharing"",""แผน!FF37"")"),15)</f>
        <v>15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IFERROR(__xludf.DUMMYFUNCTION("IMPORTRANGE(""https://docs.google.com/spreadsheets/d/1QqKyyYR6Q21VydFLVH3TRQUabQu_ym0Zz7PgGX0-kHA/edit?usp=sharing"",""แผน!FG37"")"),1)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IFERROR(__xludf.DUMMYFUNCTION("IMPORTRANGE(""https://docs.google.com/spreadsheets/d/1QqKyyYR6Q21VydFLVH3TRQUabQu_ym0Zz7PgGX0-kHA/edit?usp=sharing"",""แผน!FH37"")"),0)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100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150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503280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503280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503280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IFERROR(__xludf.DUMMYFUNCTION("IMPORTRANGE(""https://docs.google.com/spreadsheets/d/1QqKyyYR6Q21VydFLVH3TRQUabQu_ym0Zz7PgGX0-kHA/edit?usp=sharing"",""แผน!FN37"")"),100)</f>
        <v>100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IFERROR(__xludf.DUMMYFUNCTION("IMPORTRANGE(""https://docs.google.com/spreadsheets/d/1QqKyyYR6Q21VydFLVH3TRQUabQu_ym0Zz7PgGX0-kHA/edit?usp=sharing"",""แผน!FO37"")"),150)</f>
        <v>150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IFERROR(__xludf.DUMMYFUNCTION("IMPORTRANGE(""https://docs.google.com/spreadsheets/d/1QqKyyYR6Q21VydFLVH3TRQUabQu_ym0Zz7PgGX0-kHA/edit?usp=sharing"",""แผน!FO37"")"),150)</f>
        <v>150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IFERROR(__xludf.DUMMYFUNCTION("IMPORTRANGE(""https://docs.google.com/spreadsheets/d/1QqKyyYR6Q21VydFLVH3TRQUabQu_ym0Zz7PgGX0-kHA/edit?usp=sharing"",""แผน!FN37"")"),100)</f>
        <v>100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IFERROR(__xludf.DUMMYFUNCTION("IMPORTRANGE(""https://docs.google.com/spreadsheets/d/1QqKyyYR6Q21VydFLVH3TRQUabQu_ym0Zz7PgGX0-kHA/edit?usp=sharing"",""แผน!FX37"")"),131)</f>
        <v>131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IFERROR(__xludf.DUMMYFUNCTION("IMPORTRANGE(""https://docs.google.com/spreadsheets/d/1QqKyyYR6Q21VydFLVH3TRQUabQu_ym0Zz7PgGX0-kHA/edit?usp=sharing"",""แผน!FW37"")"),1300)</f>
        <v>1300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1161548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IFERROR(__xludf.DUMMYFUNCTION("IMPORTRANGE(""https://docs.google.com/spreadsheets/d/1QqKyyYR6Q21VydFLVH3TRQUabQu_ym0Zz7PgGX0-kHA/edit?usp=sharing"",""แผน!FS37"")"),1161548)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IFERROR(__xludf.DUMMYFUNCTION("IMPORTRANGE(""https://docs.google.com/spreadsheets/d/1QqKyyYR6Q21VydFLVH3TRQUabQu_ym0Zz7PgGX0-kHA/edit?usp=sharing"",""แผน!FY37"")"),1170)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IFERROR(__xludf.DUMMYFUNCTION("IMPORTRANGE(""https://docs.google.com/spreadsheets/d/1QqKyyYR6Q21VydFLVH3TRQUabQu_ym0Zz7PgGX0-kHA/edit?usp=sharing"",""แผน!FZ37"")"),117)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IFERROR(__xludf.DUMMYFUNCTION("IMPORTRANGE(""https://docs.google.com/spreadsheets/d/1QqKyyYR6Q21VydFLVH3TRQUabQu_ym0Zz7PgGX0-kHA/edit?usp=sharing"",""แผน!GA37"")"),130)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IFERROR(__xludf.DUMMYFUNCTION("IMPORTRANGE(""https://docs.google.com/spreadsheets/d/1QqKyyYR6Q21VydFLVH3TRQUabQu_ym0Zz7PgGX0-kHA/edit?usp=sharing"",""แผน!GB37"")"),13)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IFERROR(__xludf.DUMMYFUNCTION("IMPORTRANGE(""https://docs.google.com/spreadsheets/d/1QqKyyYR6Q21VydFLVH3TRQUabQu_ym0Zz7PgGX0-kHA/edit?usp=sharing"",""แผน!GC37"")"),1)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IFERROR(__xludf.DUMMYFUNCTION("IMPORTRANGE(""https://docs.google.com/spreadsheets/d/1QqKyyYR6Q21VydFLVH3TRQUabQu_ym0Zz7PgGX0-kHA/edit?usp=sharing"",""แผน!FY37"")"),1170)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IFERROR(__xludf.DUMMYFUNCTION("IMPORTRANGE(""https://docs.google.com/spreadsheets/d/1QqKyyYR6Q21VydFLVH3TRQUabQu_ym0Zz7PgGX0-kHA/edit?usp=sharing"",""แผน!GA37"")"),130)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IFERROR(__xludf.DUMMYFUNCTION("IMPORTRANGE(""https://docs.google.com/spreadsheets/d/1QqKyyYR6Q21VydFLVH3TRQUabQu_ym0Zz7PgGX0-kHA/edit?usp=sharing"",""แผน!GU37"")"),0)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IFERROR(__xludf.DUMMYFUNCTION("IMPORTRANGE(""https://docs.google.com/spreadsheets/d/1QqKyyYR6Q21VydFLVH3TRQUabQu_ym0Zz7PgGX0-kHA/edit?usp=sharing"",""แผน!GV37"")"),0)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IFERROR(__xludf.DUMMYFUNCTION("IMPORTRANGE(""https://docs.google.com/spreadsheets/d/1QqKyyYR6Q21VydFLVH3TRQUabQu_ym0Zz7PgGX0-kHA/edit?usp=sharing"",""แผน!GW37"")"),0)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IFERROR(__xludf.DUMMYFUNCTION("IMPORTRANGE(""https://docs.google.com/spreadsheets/d/1QqKyyYR6Q21VydFLVH3TRQUabQu_ym0Zz7PgGX0-kHA/edit?usp=sharing"",""แผน!GX37"")"),0)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IFERROR(__xludf.DUMMYFUNCTION("IMPORTRANGE(""https://docs.google.com/spreadsheets/d/1QqKyyYR6Q21VydFLVH3TRQUabQu_ym0Zz7PgGX0-kHA/edit?usp=sharing"",""แผน!GY37"")"),0)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IFERROR(__xludf.DUMMYFUNCTION("IMPORTRANGE(""https://docs.google.com/spreadsheets/d/1QqKyyYR6Q21VydFLVH3TRQUabQu_ym0Zz7PgGX0-kHA/edit?usp=sharing"",""แผน!GZ37"")"),0)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90157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483597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483597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483597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IFERROR(__xludf.DUMMYFUNCTION("IMPORTRANGE(""https://docs.google.com/spreadsheets/d/1QqKyyYR6Q21VydFLVH3TRQUabQu_ym0Zz7PgGX0-kHA/edit?usp=sharing"",""แผน!HB37"")"),483597)</f>
        <v>483597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90157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IFERROR(__xludf.DUMMYFUNCTION("IMPORTRANGE(""https://docs.google.com/spreadsheets/d/1QqKyyYR6Q21VydFLVH3TRQUabQu_ym0Zz7PgGX0-kHA/edit?usp=sharing"",""แผน!HH37"")"),90157)</f>
        <v>90157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IFERROR(__xludf.DUMMYFUNCTION("IMPORTRANGE(""https://docs.google.com/spreadsheets/d/1QqKyyYR6Q21VydFLVH3TRQUabQu_ym0Zz7PgGX0-kHA/edit?usp=sharing"",""แผน!HH37"")"),90157)</f>
        <v>90157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IFERROR(__xludf.DUMMYFUNCTION("IMPORTRANGE(""https://docs.google.com/spreadsheets/d/1QqKyyYR6Q21VydFLVH3TRQUabQu_ym0Zz7PgGX0-kHA/edit?usp=sharing"",""แผน!HH37"")"),90157)</f>
        <v>90157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5479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IFERROR(__xludf.DUMMYFUNCTION("IMPORTRANGE(""https://docs.google.com/spreadsheets/d/1QqKyyYR6Q21VydFLVH3TRQUabQu_ym0Zz7PgGX0-kHA/edit?usp=sharing"",""แผน!HJ37"")"),5479)</f>
        <v>5479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IFERROR(__xludf.DUMMYFUNCTION("IMPORTRANGE(""https://docs.google.com/spreadsheets/d/1QqKyyYR6Q21VydFLVH3TRQUabQu_ym0Zz7PgGX0-kHA/edit?usp=sharing"",""แผน!HL37"")"),0)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IFERROR(__xludf.DUMMYFUNCTION("IMPORTRANGE(""https://docs.google.com/spreadsheets/d/1QqKyyYR6Q21VydFLVH3TRQUabQu_ym0Zz7PgGX0-kHA/edit?usp=sharing"",""แผน!HK37"")"),0)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100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358310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358310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358310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IFERROR(__xludf.DUMMYFUNCTION("IMPORTRANGE(""https://docs.google.com/spreadsheets/d/1QqKyyYR6Q21VydFLVH3TRQUabQu_ym0Zz7PgGX0-kHA/edit?usp=sharing"",""แผน!HR37"")"),0)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IFERROR(__xludf.DUMMYFUNCTION("IMPORTRANGE(""https://docs.google.com/spreadsheets/d/1QqKyyYR6Q21VydFLVH3TRQUabQu_ym0Zz7PgGX0-kHA/edit?usp=sharing"",""แผน!HR37"")"),0)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IFERROR(__xludf.DUMMYFUNCTION("IMPORTRANGE(""https://docs.google.com/spreadsheets/d/1XWAQStnk-4SwqDmLtmXYiTMKHgktTP8We1SCoS47DrQ/edit?usp=sharing"",""จัดที่ดิน!AS37"")"),0)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IFERROR(__xludf.DUMMYFUNCTION("IMPORTRANGE(""https://docs.google.com/spreadsheets/d/1XWAQStnk-4SwqDmLtmXYiTMKHgktTP8We1SCoS47DrQ/edit?usp=sharing"",""จัดที่ดิน!AT37"")"),0)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IFERROR(__xludf.DUMMYFUNCTION("IMPORTRANGE(""https://docs.google.com/spreadsheets/d/1QqKyyYR6Q21VydFLVH3TRQUabQu_ym0Zz7PgGX0-kHA/edit?usp=sharing"",""แผน!HS37"")"),100)</f>
        <v>100</v>
      </c>
      <c r="J647" s="269">
        <f ca="1">IFERROR(__xludf.DUMMYFUNCTION("IMPORTRANGE(""https://docs.google.com/spreadsheets/d/1XWAQStnk-4SwqDmLtmXYiTMKHgktTP8We1SCoS47DrQ/edit?usp=sharing"",""จัดที่ดิน!AU37"")"),0)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IFERROR(__xludf.DUMMYFUNCTION("IMPORTRANGE(""https://docs.google.com/spreadsheets/d/1XWAQStnk-4SwqDmLtmXYiTMKHgktTP8We1SCoS47DrQ/edit?usp=sharing"",""จัดที่ดิน!AV37"")"),0)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IFERROR(__xludf.DUMMYFUNCTION("IMPORTRANGE(""https://docs.google.com/spreadsheets/d/1QqKyyYR6Q21VydFLVH3TRQUabQu_ym0Zz7PgGX0-kHA/edit?usp=sharing"",""แผน!HS37"")"),100)</f>
        <v>100</v>
      </c>
      <c r="J649" s="269">
        <f ca="1">IFERROR(__xludf.DUMMYFUNCTION("IMPORTRANGE(""https://docs.google.com/spreadsheets/d/1XWAQStnk-4SwqDmLtmXYiTMKHgktTP8We1SCoS47DrQ/edit?usp=sharing"",""จัดที่ดิน!AW37"")"),0)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IFERROR(__xludf.DUMMYFUNCTION("IMPORTRANGE(""https://docs.google.com/spreadsheets/d/1XWAQStnk-4SwqDmLtmXYiTMKHgktTP8We1SCoS47DrQ/edit?usp=sharing"",""จัดที่ดิน!AX37"")"),0)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IFERROR(__xludf.DUMMYFUNCTION("IMPORTRANGE(""https://docs.google.com/spreadsheets/d/1QqKyyYR6Q21VydFLVH3TRQUabQu_ym0Zz7PgGX0-kHA/edit?usp=sharing"",""แผน!HS37"")"),100)</f>
        <v>100</v>
      </c>
      <c r="J651" s="269">
        <f ca="1">IFERROR(__xludf.DUMMYFUNCTION("IMPORTRANGE(""https://docs.google.com/spreadsheets/d/1XWAQStnk-4SwqDmLtmXYiTMKHgktTP8We1SCoS47DrQ/edit?usp=sharing"",""จัดที่ดิน!AY37"")"),0)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IFERROR(__xludf.DUMMYFUNCTION("IMPORTRANGE(""https://docs.google.com/spreadsheets/d/1XWAQStnk-4SwqDmLtmXYiTMKHgktTP8We1SCoS47DrQ/edit?usp=sharing"",""จัดที่ดิน!AZ37"")"),0)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 hidden="1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IFERROR(__xludf.DUMMYFUNCTION("IMPORTRANGE(""https://docs.google.com/spreadsheets/d/1QqKyyYR6Q21VydFLVH3TRQUabQu_ym0Zz7PgGX0-kHA/edit?usp=sharing"",""แผน!IA37"")"),0)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IFERROR(__xludf.DUMMYFUNCTION("IMPORTRANGE(""https://docs.google.com/spreadsheets/d/1QqKyyYR6Q21VydFLVH3TRQUabQu_ym0Zz7PgGX0-kHA/edit?usp=sharing"",""แผน!HZ37"")"),0)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IFERROR(__xludf.DUMMYFUNCTION("IMPORTRANGE(""https://docs.google.com/spreadsheets/d/1QqKyyYR6Q21VydFLVH3TRQUabQu_ym0Zz7PgGX0-kHA/edit?usp=sharing"",""แผน!HZ37"")"),0)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IFERROR(__xludf.DUMMYFUNCTION("IMPORTRANGE(""https://docs.google.com/spreadsheets/d/1QqKyyYR6Q21VydFLVH3TRQUabQu_ym0Zz7PgGX0-kHA/edit?usp=sharing"",""แผน!IB37"")"),0)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IFERROR(__xludf.DUMMYFUNCTION("IMPORTRANGE(""https://docs.google.com/spreadsheets/d/1QqKyyYR6Q21VydFLVH3TRQUabQu_ym0Zz7PgGX0-kHA/edit?usp=sharing"",""แผน!IC37"")"),0)</f>
        <v>0</v>
      </c>
      <c r="J699" s="269">
        <f ca="1">IFERROR(__xludf.DUMMYFUNCTION("IMPORTRANGE(""https://docs.google.com/spreadsheets/d/1XWAQStnk-4SwqDmLtmXYiTMKHgktTP8We1SCoS47DrQ/edit?usp=sharing"",""จัดที่ดิน!BB37"")"),0)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IFERROR(__xludf.DUMMYFUNCTION("IMPORTRANGE(""https://docs.google.com/spreadsheets/d/1QqKyyYR6Q21VydFLVH3TRQUabQu_ym0Zz7PgGX0-kHA/edit?usp=sharing"",""แผน!ID37"")"),0)</f>
        <v>0</v>
      </c>
      <c r="J700" s="269">
        <f ca="1">IFERROR(__xludf.DUMMYFUNCTION("IMPORTRANGE(""https://docs.google.com/spreadsheets/d/1XWAQStnk-4SwqDmLtmXYiTMKHgktTP8We1SCoS47DrQ/edit?usp=sharing"",""จัดที่ดิน!BD37"")"),0)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IFERROR(__xludf.DUMMYFUNCTION("IMPORTRANGE(""https://docs.google.com/spreadsheets/d/1QqKyyYR6Q21VydFLVH3TRQUabQu_ym0Zz7PgGX0-kHA/edit?usp=sharing"",""แผน!IE37"")"),0)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IFERROR(__xludf.DUMMYFUNCTION("IMPORTRANGE(""https://docs.google.com/spreadsheets/d/1QqKyyYR6Q21VydFLVH3TRQUabQu_ym0Zz7PgGX0-kHA/edit?usp=sharing"",""แผน!IF37"")"),0)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IFERROR(__xludf.DUMMYFUNCTION("IMPORTRANGE(""https://docs.google.com/spreadsheets/d/1QqKyyYR6Q21VydFLVH3TRQUabQu_ym0Zz7PgGX0-kHA/edit?usp=sharing"",""แผน!IG37"")"),0)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IFERROR(__xludf.DUMMYFUNCTION("IMPORTRANGE(""https://docs.google.com/spreadsheets/d/1QqKyyYR6Q21VydFLVH3TRQUabQu_ym0Zz7PgGX0-kHA/edit?usp=sharing"",""แผน!IH37"")"),0)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IFERROR(__xludf.DUMMYFUNCTION("IMPORTRANGE(""https://docs.google.com/spreadsheets/d/1XWAQStnk-4SwqDmLtmXYiTMKHgktTP8We1SCoS47DrQ/edit?usp=sharing"",""จัดที่ดิน!BF37"")"),0)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IFERROR(__xludf.DUMMYFUNCTION("IMPORTRANGE(""https://docs.google.com/spreadsheets/d/1XWAQStnk-4SwqDmLtmXYiTMKHgktTP8We1SCoS47DrQ/edit?usp=sharing"",""จัดที่ดิน!BG37"")"),0)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IFERROR(__xludf.DUMMYFUNCTION("IMPORTRANGE(""https://docs.google.com/spreadsheets/d/1QqKyyYR6Q21VydFLVH3TRQUabQu_ym0Zz7PgGX0-kHA/edit?usp=sharing"",""แผน!II37"")"),0)</f>
        <v>0</v>
      </c>
      <c r="J720" s="269">
        <f ca="1">IFERROR(__xludf.DUMMYFUNCTION("IMPORTRANGE(""https://docs.google.com/spreadsheets/d/1XWAQStnk-4SwqDmLtmXYiTMKHgktTP8We1SCoS47DrQ/edit?usp=sharing"",""จัดที่ดิน!BH37"")"),0)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IFERROR(__xludf.DUMMYFUNCTION("IMPORTRANGE(""https://docs.google.com/spreadsheets/d/1QqKyyYR6Q21VydFLVH3TRQUabQu_ym0Zz7PgGX0-kHA/edit?usp=sharing"",""แผน!IJ37"")"),0)</f>
        <v>0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IFERROR(__xludf.DUMMYFUNCTION("IMPORTRANGE(""https://docs.google.com/spreadsheets/d/1QqKyyYR6Q21VydFLVH3TRQUabQu_ym0Zz7PgGX0-kHA/edit?usp=sharing"",""แผน!IK37"")"),0)</f>
        <v>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IFERROR(__xludf.DUMMYFUNCTION("IMPORTRANGE(""https://docs.google.com/spreadsheets/d/1QqKyyYR6Q21VydFLVH3TRQUabQu_ym0Zz7PgGX0-kHA/edit?usp=sharing"",""แผน!IL37"")"),0)</f>
        <v>0</v>
      </c>
      <c r="J723" s="269">
        <f ca="1">IFERROR(__xludf.DUMMYFUNCTION("IMPORTRANGE(""https://docs.google.com/spreadsheets/d/1XWAQStnk-4SwqDmLtmXYiTMKHgktTP8We1SCoS47DrQ/edit?usp=sharing"",""จัดที่ดิน!BM37"")"),0)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IFERROR(__xludf.DUMMYFUNCTION("IMPORTRANGE(""https://docs.google.com/spreadsheets/d/1XWAQStnk-4SwqDmLtmXYiTMKHgktTP8We1SCoS47DrQ/edit?usp=sharing"",""จัดที่ดิน!BN37"")"),0)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IFERROR(__xludf.DUMMYFUNCTION("IMPORTRANGE(""https://docs.google.com/spreadsheets/d/1QqKyyYR6Q21VydFLVH3TRQUabQu_ym0Zz7PgGX0-kHA/edit?usp=sharing"",""แผน!IM37"")"),0)</f>
        <v>0</v>
      </c>
      <c r="J725" s="269">
        <f ca="1">IFERROR(__xludf.DUMMYFUNCTION("IMPORTRANGE(""https://docs.google.com/spreadsheets/d/1XWAQStnk-4SwqDmLtmXYiTMKHgktTP8We1SCoS47DrQ/edit?usp=sharing"",""จัดที่ดิน!BO37"")"),0)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IFERROR(__xludf.DUMMYFUNCTION("IMPORTRANGE(""https://docs.google.com/spreadsheets/d/1QqKyyYR6Q21VydFLVH3TRQUabQu_ym0Zz7PgGX0-kHA/edit?usp=sharing"",""แผน!IN37"")"),0)</f>
        <v>0</v>
      </c>
      <c r="J726" s="269">
        <f ca="1">IFERROR(__xludf.DUMMYFUNCTION("IMPORTRANGE(""https://docs.google.com/spreadsheets/d/1XWAQStnk-4SwqDmLtmXYiTMKHgktTP8We1SCoS47DrQ/edit?usp=sharing"",""จัดที่ดิน!BR37"")"),0)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IFERROR(__xludf.DUMMYFUNCTION("IMPORTRANGE(""https://docs.google.com/spreadsheets/d/1XWAQStnk-4SwqDmLtmXYiTMKHgktTP8We1SCoS47DrQ/edit?usp=sharing"",""จัดที่ดิน!BS37"")"),0)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IFERROR(__xludf.DUMMYFUNCTION("IMPORTRANGE(""https://docs.google.com/spreadsheets/d/1QqKyyYR6Q21VydFLVH3TRQUabQu_ym0Zz7PgGX0-kHA/edit?usp=sharing"",""แผน!IO37"")"),0)</f>
        <v>0</v>
      </c>
      <c r="J728" s="269">
        <f ca="1">IFERROR(__xludf.DUMMYFUNCTION("IMPORTRANGE(""https://docs.google.com/spreadsheets/d/1XWAQStnk-4SwqDmLtmXYiTMKHgktTP8We1SCoS47DrQ/edit?usp=sharing"",""จัดที่ดิน!BT37"")"),0)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IFERROR(__xludf.DUMMYFUNCTION("IMPORTRANGE(""https://docs.google.com/spreadsheets/d/1QqKyyYR6Q21VydFLVH3TRQUabQu_ym0Zz7PgGX0-kHA/edit?usp=sharing"",""แผน!IP37"")"),0)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798">
        <f t="shared" ref="I785:J785" ca="1" si="317">I800</f>
        <v>3000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213920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213920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213920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IFERROR(__xludf.DUMMYFUNCTION("IMPORTRANGE(""https://docs.google.com/spreadsheets/d/1QqKyyYR6Q21VydFLVH3TRQUabQu_ym0Zz7PgGX0-kHA/edit?usp=sharing"",""แผน!JN37"")"),3000)</f>
        <v>3000</v>
      </c>
      <c r="J800" s="184">
        <f ca="1">IFERROR(__xludf.DUMMYFUNCTION("IMPORTRANGE(""https://docs.google.com/spreadsheets/d/1MaWodYyGHDf7siQLGxnXhG4mBNTNIuy296niS2xXulU/edit?usp=sharing"",""RTK!H37"")"),0)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IFERROR(__xludf.DUMMYFUNCTION("IMPORTRANGE(""https://docs.google.com/spreadsheets/d/1MaWodYyGHDf7siQLGxnXhG4mBNTNIuy296niS2xXulU/edit?usp=sharing"",""RTK!I37"")"),0)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69">
        <f ca="1">IFERROR(__xludf.DUMMYFUNCTION("IMPORTRANGE(""https://docs.google.com/spreadsheets/d/19vJNZY_5yjcGF2XGBMNZRCAIB0Kwfpjp8YEOfu-bneM/edit?usp=sharing"",""งานกองทุน!F37"")"),0)</f>
        <v>0</v>
      </c>
      <c r="K821" s="496">
        <f t="shared" ref="K821:K828" ca="1" si="334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IFERROR(__xludf.DUMMYFUNCTION("IMPORTRANGE(""https://docs.google.com/spreadsheets/d/19vJNZY_5yjcGF2XGBMNZRCAIB0Kwfpjp8YEOfu-bneM/edit?usp=sharing"",""งานกองทุน!C37"")"),278)</f>
        <v>278</v>
      </c>
      <c r="J822" s="269">
        <f ca="1">IFERROR(__xludf.DUMMYFUNCTION("IMPORTRANGE(""https://docs.google.com/spreadsheets/d/19vJNZY_5yjcGF2XGBMNZRCAIB0Kwfpjp8YEOfu-bneM/edit?usp=sharing"",""งานกองทุน!E37"")"),0)</f>
        <v>0</v>
      </c>
      <c r="K822" s="496">
        <f t="shared" ca="1" si="334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69">
        <f ca="1">IFERROR(__xludf.DUMMYFUNCTION("IMPORTRANGE(""https://docs.google.com/spreadsheets/d/19vJNZY_5yjcGF2XGBMNZRCAIB0Kwfpjp8YEOfu-bneM/edit?usp=sharing"",""งานกองทุน!K37"")"),29011.1)</f>
        <v>29011.1</v>
      </c>
      <c r="K823" s="496">
        <f t="shared" ca="1" si="334"/>
        <v>2.678711553694344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IFERROR(__xludf.DUMMYFUNCTION("IMPORTRANGE(""https://docs.google.com/spreadsheets/d/19vJNZY_5yjcGF2XGBMNZRCAIB0Kwfpjp8YEOfu-bneM/edit?usp=sharing"",""งานกองทุน!H37"")"),55)</f>
        <v>55</v>
      </c>
      <c r="J824" s="269">
        <f ca="1">IFERROR(__xludf.DUMMYFUNCTION("IMPORTRANGE(""https://docs.google.com/spreadsheets/d/19vJNZY_5yjcGF2XGBMNZRCAIB0Kwfpjp8YEOfu-bneM/edit?usp=sharing"",""งานกองทุน!J37"")"),6)</f>
        <v>6</v>
      </c>
      <c r="K824" s="496">
        <f t="shared" ca="1" si="334"/>
        <v>10.909090909090908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IFERROR(__xludf.DUMMYFUNCTION("IMPORTRANGE(""https://docs.google.com/spreadsheets/d/19vJNZY_5yjcGF2XGBMNZRCAIB0Kwfpjp8YEOfu-bneM/edit?usp=sharing"",""งานกองทุน!N37"")"),0)</f>
        <v>0</v>
      </c>
      <c r="J825" s="269">
        <f ca="1">IFERROR(__xludf.DUMMYFUNCTION("IMPORTRANGE(""https://docs.google.com/spreadsheets/d/19vJNZY_5yjcGF2XGBMNZRCAIB0Kwfpjp8YEOfu-bneM/edit?usp=sharing"",""งานกองทุน!P37"")"),0)</f>
        <v>0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IFERROR(__xludf.DUMMYFUNCTION("IMPORTRANGE(""https://docs.google.com/spreadsheets/d/19vJNZY_5yjcGF2XGBMNZRCAIB0Kwfpjp8YEOfu-bneM/edit?usp=sharing"",""งานกองทุน!M37"")"),0)</f>
        <v>0</v>
      </c>
      <c r="J826" s="269">
        <f ca="1">IFERROR(__xludf.DUMMYFUNCTION("IMPORTRANGE(""https://docs.google.com/spreadsheets/d/19vJNZY_5yjcGF2XGBMNZRCAIB0Kwfpjp8YEOfu-bneM/edit?usp=sharing"",""งานกองทุน!O37"")"),0)</f>
        <v>0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IFERROR(__xludf.DUMMYFUNCTION("IMPORTRANGE(""https://docs.google.com/spreadsheets/d/19vJNZY_5yjcGF2XGBMNZRCAIB0Kwfpjp8YEOfu-bneM/edit?usp=sharing"",""งานกองทุน!S37"")"),2800000)</f>
        <v>2800000</v>
      </c>
      <c r="J827" s="269">
        <f ca="1">IFERROR(__xludf.DUMMYFUNCTION("IMPORTRANGE(""https://docs.google.com/spreadsheets/d/19vJNZY_5yjcGF2XGBMNZRCAIB0Kwfpjp8YEOfu-bneM/edit?usp=sharing"",""งานกองทุน!U37"")"),0)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IFERROR(__xludf.DUMMYFUNCTION("IMPORTRANGE(""https://docs.google.com/spreadsheets/d/19vJNZY_5yjcGF2XGBMNZRCAIB0Kwfpjp8YEOfu-bneM/edit?usp=sharing"",""งานกองทุน!R37"")"),112)</f>
        <v>112</v>
      </c>
      <c r="J828" s="499">
        <f ca="1">IFERROR(__xludf.DUMMYFUNCTION("IMPORTRANGE(""https://docs.google.com/spreadsheets/d/19vJNZY_5yjcGF2XGBMNZRCAIB0Kwfpjp8YEOfu-bneM/edit?usp=sharing"",""งานกองทุน!T37"")"),23)</f>
        <v>23</v>
      </c>
      <c r="K828" s="500">
        <f t="shared" ca="1" si="334"/>
        <v>20.535714285714285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0AF78-C821-410B-83C9-AD3ABFA5F9C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G418" sqref="G418"/>
      <selection pane="bottomLeft" activeCell="O6" sqref="O6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341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7744245</v>
      </c>
      <c r="M8" s="21">
        <f t="shared" ca="1" si="0"/>
        <v>2403992</v>
      </c>
      <c r="N8" s="21">
        <f t="shared" ca="1" si="0"/>
        <v>836022.85</v>
      </c>
      <c r="O8" s="21">
        <f t="shared" ref="O8:O16" ca="1" si="1">IF(L8&gt;0,N8*100/L8,0)</f>
        <v>10.795408073995592</v>
      </c>
      <c r="P8" s="21">
        <f t="shared" ref="P8:P16" ca="1" si="2">IF(M8&gt;0,N8*100/M8,0)</f>
        <v>34.776440603795685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7744245</v>
      </c>
      <c r="M10" s="30">
        <f t="shared" ca="1" si="3"/>
        <v>2403992</v>
      </c>
      <c r="N10" s="30">
        <f t="shared" ca="1" si="3"/>
        <v>836022.85</v>
      </c>
      <c r="O10" s="30">
        <f t="shared" ca="1" si="1"/>
        <v>10.795408073995592</v>
      </c>
      <c r="P10" s="30">
        <f t="shared" ca="1" si="2"/>
        <v>34.776440603795685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7630445</v>
      </c>
      <c r="M11" s="496">
        <f t="shared" ca="1" si="4"/>
        <v>2290192</v>
      </c>
      <c r="N11" s="496">
        <f t="shared" ca="1" si="4"/>
        <v>722222.85</v>
      </c>
      <c r="O11" s="496">
        <f t="shared" ca="1" si="1"/>
        <v>9.4650161294655817</v>
      </c>
      <c r="P11" s="496">
        <f t="shared" ca="1" si="2"/>
        <v>31.535471698442752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7630445</v>
      </c>
      <c r="M13" s="93">
        <f t="shared" ca="1" si="5"/>
        <v>2290192</v>
      </c>
      <c r="N13" s="93">
        <f t="shared" ca="1" si="5"/>
        <v>722222.85</v>
      </c>
      <c r="O13" s="93">
        <f t="shared" ca="1" si="1"/>
        <v>9.4650161294655817</v>
      </c>
      <c r="P13" s="93">
        <f t="shared" ca="1" si="2"/>
        <v>31.535471698442752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113800</v>
      </c>
      <c r="M14" s="496">
        <f t="shared" ca="1" si="6"/>
        <v>113800</v>
      </c>
      <c r="N14" s="496">
        <f t="shared" ca="1" si="6"/>
        <v>113800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4659702</v>
      </c>
      <c r="M18" s="21">
        <f t="shared" ca="1" si="8"/>
        <v>2403992</v>
      </c>
      <c r="N18" s="21">
        <f t="shared" ca="1" si="8"/>
        <v>836022.85</v>
      </c>
      <c r="O18" s="21">
        <f t="shared" ref="O18:O26" ca="1" si="9">IF(L18&gt;0,N18*100/L18,0)</f>
        <v>17.941551841727218</v>
      </c>
      <c r="P18" s="21">
        <f t="shared" ref="P18:P26" ca="1" si="10">IF(M18&gt;0,N18*100/M18,0)</f>
        <v>34.776440603795685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2403992</v>
      </c>
      <c r="N20" s="30">
        <f t="shared" ca="1" si="11"/>
        <v>836022.85</v>
      </c>
      <c r="O20" s="30">
        <f t="shared" ca="1" si="9"/>
        <v>17.941551841727218</v>
      </c>
      <c r="P20" s="30">
        <f t="shared" ca="1" si="10"/>
        <v>34.776440603795685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4545902</v>
      </c>
      <c r="M21" s="496">
        <f t="shared" ca="1" si="12"/>
        <v>2290192</v>
      </c>
      <c r="N21" s="496">
        <f t="shared" ca="1" si="12"/>
        <v>722222.85</v>
      </c>
      <c r="O21" s="496">
        <f t="shared" ca="1" si="9"/>
        <v>15.887338750373413</v>
      </c>
      <c r="P21" s="496">
        <f t="shared" ca="1" si="10"/>
        <v>31.535471698442752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4545902</v>
      </c>
      <c r="M23" s="93">
        <f t="shared" ca="1" si="13"/>
        <v>2290192</v>
      </c>
      <c r="N23" s="93">
        <f t="shared" ca="1" si="13"/>
        <v>722222.85</v>
      </c>
      <c r="O23" s="93">
        <f t="shared" ca="1" si="9"/>
        <v>15.887338750373413</v>
      </c>
      <c r="P23" s="93">
        <f t="shared" ca="1" si="10"/>
        <v>31.535471698442752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113800</v>
      </c>
      <c r="M24" s="496">
        <f t="shared" ca="1" si="14"/>
        <v>113800</v>
      </c>
      <c r="N24" s="496">
        <f t="shared" ca="1" si="14"/>
        <v>113800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3084543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3084543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3084543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3084543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4659702</v>
      </c>
      <c r="M37" s="59">
        <f t="shared" ca="1" si="24"/>
        <v>2403992</v>
      </c>
      <c r="N37" s="59">
        <f t="shared" ca="1" si="24"/>
        <v>836022.85</v>
      </c>
      <c r="O37" s="59">
        <f t="shared" ca="1" si="17"/>
        <v>17.941551841727218</v>
      </c>
      <c r="P37" s="59">
        <f t="shared" ca="1" si="18"/>
        <v>34.776440603795685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786592</v>
      </c>
      <c r="M41" s="84">
        <f t="shared" ca="1" si="25"/>
        <v>394592</v>
      </c>
      <c r="N41" s="84">
        <f t="shared" ca="1" si="25"/>
        <v>151528</v>
      </c>
      <c r="O41" s="84">
        <f t="shared" ref="O41:O49" ca="1" si="26">IF(L41&gt;0,N41*100/L41,0)</f>
        <v>19.263862332695986</v>
      </c>
      <c r="P41" s="84">
        <f t="shared" ref="P41:P49" ca="1" si="27">IF(M41&gt;0,N41*100/M41,0)</f>
        <v>38.401184007785254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394592</v>
      </c>
      <c r="N43" s="92">
        <f t="shared" ca="1" si="28"/>
        <v>151528</v>
      </c>
      <c r="O43" s="92">
        <f t="shared" ca="1" si="26"/>
        <v>19.263862332695986</v>
      </c>
      <c r="P43" s="92">
        <f t="shared" ca="1" si="27"/>
        <v>38.401184007785254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786592</v>
      </c>
      <c r="M44" s="496">
        <f t="shared" ca="1" si="29"/>
        <v>394592</v>
      </c>
      <c r="N44" s="496">
        <f t="shared" ca="1" si="29"/>
        <v>151528</v>
      </c>
      <c r="O44" s="496">
        <f t="shared" ca="1" si="26"/>
        <v>19.263862332695986</v>
      </c>
      <c r="P44" s="496">
        <f t="shared" ca="1" si="27"/>
        <v>38.401184007785254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IFERROR(__xludf.DUMMYFUNCTION("IMPORTRANGE(""https://docs.google.com/spreadsheets/d/1MeEWN-I1oV_STSDYn1IFDPWt_1FKiwhDph83XaGc0o0/edit?usp=sharing"",""งบพรบ!R38"")"),394592)</f>
        <v>394592</v>
      </c>
      <c r="N46" s="93">
        <f ca="1">IFERROR(__xludf.DUMMYFUNCTION("IMPORTRANGE(""https://docs.google.com/spreadsheets/d/1MeEWN-I1oV_STSDYn1IFDPWt_1FKiwhDph83XaGc0o0/edit?usp=sharing"",""งบพรบ!T38"")"),151528)</f>
        <v>151528</v>
      </c>
      <c r="O46" s="93">
        <f t="shared" ca="1" si="26"/>
        <v>19.263862332695986</v>
      </c>
      <c r="P46" s="93">
        <f t="shared" ca="1" si="27"/>
        <v>38.401184007785254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726300</v>
      </c>
      <c r="M53" s="115">
        <f t="shared" ca="1" si="31"/>
        <v>366150</v>
      </c>
      <c r="N53" s="115">
        <f t="shared" ca="1" si="31"/>
        <v>146008.32999999999</v>
      </c>
      <c r="O53" s="115">
        <f t="shared" ref="O53:O61" ca="1" si="32">IF(L53&gt;0,N53*100/L53,0)</f>
        <v>20.103033181880765</v>
      </c>
      <c r="P53" s="115">
        <f t="shared" ref="P53:P61" ca="1" si="33">IF(M53&gt;0,N53*100/M53,0)</f>
        <v>39.876643452137095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366150</v>
      </c>
      <c r="N55" s="123">
        <f t="shared" ca="1" si="34"/>
        <v>146008.32999999999</v>
      </c>
      <c r="O55" s="123">
        <f t="shared" ca="1" si="32"/>
        <v>20.103033181880765</v>
      </c>
      <c r="P55" s="123">
        <f t="shared" ca="1" si="33"/>
        <v>39.876643452137095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726300</v>
      </c>
      <c r="M56" s="496">
        <f t="shared" ca="1" si="35"/>
        <v>366150</v>
      </c>
      <c r="N56" s="496">
        <f t="shared" ca="1" si="35"/>
        <v>146008.32999999999</v>
      </c>
      <c r="O56" s="496">
        <f t="shared" ca="1" si="32"/>
        <v>20.103033181880765</v>
      </c>
      <c r="P56" s="496">
        <f t="shared" ca="1" si="33"/>
        <v>39.876643452137095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IFERROR(__xludf.DUMMYFUNCTION("IMPORTRANGE(""https://docs.google.com/spreadsheets/d/1MeEWN-I1oV_STSDYn1IFDPWt_1FKiwhDph83XaGc0o0/edit?usp=sharing"",""งบพรบ!AB38"")"),366150)</f>
        <v>366150</v>
      </c>
      <c r="N58" s="93">
        <f ca="1">IFERROR(__xludf.DUMMYFUNCTION("IMPORTRANGE(""https://docs.google.com/spreadsheets/d/1MeEWN-I1oV_STSDYn1IFDPWt_1FKiwhDph83XaGc0o0/edit?usp=sharing"",""งบพรบ!AD38"")"),146008.33)</f>
        <v>146008.32999999999</v>
      </c>
      <c r="O58" s="93">
        <f t="shared" ca="1" si="32"/>
        <v>20.103033181880765</v>
      </c>
      <c r="P58" s="93">
        <f t="shared" ca="1" si="33"/>
        <v>39.876643452137095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63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855000</v>
      </c>
      <c r="M66" s="155">
        <f t="shared" ca="1" si="39"/>
        <v>415100</v>
      </c>
      <c r="N66" s="155">
        <f t="shared" ca="1" si="39"/>
        <v>98385.94</v>
      </c>
      <c r="O66" s="155">
        <f t="shared" ref="O66:O74" ca="1" si="40">IF(L66&gt;0,N66*100/L66,0)</f>
        <v>11.507127485380117</v>
      </c>
      <c r="P66" s="155">
        <f t="shared" ref="P66:P74" ca="1" si="41">IF(M66&gt;0,N66*100/M66,0)</f>
        <v>23.701744158034209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855000</v>
      </c>
      <c r="M68" s="93">
        <f t="shared" ca="1" si="42"/>
        <v>415100</v>
      </c>
      <c r="N68" s="93">
        <f t="shared" ca="1" si="42"/>
        <v>98385.94</v>
      </c>
      <c r="O68" s="93">
        <f t="shared" ca="1" si="40"/>
        <v>11.507127485380117</v>
      </c>
      <c r="P68" s="93">
        <f t="shared" ca="1" si="41"/>
        <v>23.701744158034209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855000</v>
      </c>
      <c r="M69" s="496">
        <f t="shared" ca="1" si="43"/>
        <v>415100</v>
      </c>
      <c r="N69" s="496">
        <f t="shared" ca="1" si="43"/>
        <v>98385.94</v>
      </c>
      <c r="O69" s="496">
        <f t="shared" ca="1" si="40"/>
        <v>11.507127485380117</v>
      </c>
      <c r="P69" s="496">
        <f t="shared" ca="1" si="41"/>
        <v>23.701744158034209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IFERROR(__xludf.DUMMYFUNCTION("IMPORTRANGE(""https://docs.google.com/spreadsheets/d/1MeEWN-I1oV_STSDYn1IFDPWt_1FKiwhDph83XaGc0o0/edit?usp=sharing"",""งบพรบ!AL38"")"),415100)</f>
        <v>415100</v>
      </c>
      <c r="N71" s="93">
        <f ca="1">IFERROR(__xludf.DUMMYFUNCTION("IMPORTRANGE(""https://docs.google.com/spreadsheets/d/1MeEWN-I1oV_STSDYn1IFDPWt_1FKiwhDph83XaGc0o0/edit?usp=sharing"",""งบพรบ!AN38"")"),98385.94)</f>
        <v>98385.94</v>
      </c>
      <c r="O71" s="93">
        <f t="shared" ca="1" si="40"/>
        <v>11.507127485380117</v>
      </c>
      <c r="P71" s="93">
        <f t="shared" ca="1" si="41"/>
        <v>23.701744158034209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1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63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31200</v>
      </c>
      <c r="M88" s="155">
        <f t="shared" ca="1" si="49"/>
        <v>27750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31200</v>
      </c>
      <c r="M90" s="93">
        <f t="shared" ca="1" si="52"/>
        <v>27750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31200</v>
      </c>
      <c r="M91" s="496">
        <f t="shared" ca="1" si="53"/>
        <v>27750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IFERROR(__xludf.DUMMYFUNCTION("IMPORTRANGE(""https://docs.google.com/spreadsheets/d/1MeEWN-I1oV_STSDYn1IFDPWt_1FKiwhDph83XaGc0o0/edit?usp=sharing"",""งบพรบ!AV38"")"),27750)</f>
        <v>27750</v>
      </c>
      <c r="N93" s="93">
        <f ca="1">IFERROR(__xludf.DUMMYFUNCTION("IMPORTRANGE(""https://docs.google.com/spreadsheets/d/1MeEWN-I1oV_STSDYn1IFDPWt_1FKiwhDph83XaGc0o0/edit?usp=sharing"",""งบพรบ!AX38"")"),0)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IFERROR(__xludf.DUMMYFUNCTION("IMPORTRANGE(""https://docs.google.com/spreadsheets/d/1QqKyyYR6Q21VydFLVH3TRQUabQu_ym0Zz7PgGX0-kHA/edit?usp=sharing"",""แผน!K38"")"),0)</f>
        <v>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IFERROR(__xludf.DUMMYFUNCTION("IMPORTRANGE(""https://docs.google.com/spreadsheets/d/1QqKyyYR6Q21VydFLVH3TRQUabQu_ym0Zz7PgGX0-kHA/edit?usp=sharing"",""แผน!L38"")"),0)</f>
        <v>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IFERROR(__xludf.DUMMYFUNCTION("IMPORTRANGE(""https://docs.google.com/spreadsheets/d/1QqKyyYR6Q21VydFLVH3TRQUabQu_ym0Zz7PgGX0-kHA/edit?usp=sharing"",""แผน!M38"")"),1)</f>
        <v>1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IFERROR(__xludf.DUMMYFUNCTION("IMPORTRANGE(""https://docs.google.com/spreadsheets/d/1QqKyyYR6Q21VydFLVH3TRQUabQu_ym0Zz7PgGX0-kHA/edit?usp=sharing"",""แผน!N38"")"),0)</f>
        <v>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IFERROR(__xludf.DUMMYFUNCTION("IMPORTRANGE(""https://docs.google.com/spreadsheets/d/1QqKyyYR6Q21VydFLVH3TRQUabQu_ym0Zz7PgGX0-kHA/edit?usp=sharing"",""แผน!O38"")"),0)</f>
        <v>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IFERROR(__xludf.DUMMYFUNCTION("IMPORTRANGE(""https://docs.google.com/spreadsheets/d/1QqKyyYR6Q21VydFLVH3TRQUabQu_ym0Zz7PgGX0-kHA/edit?usp=sharing"",""แผน!O38"")"),0)</f>
        <v>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IFERROR(__xludf.DUMMYFUNCTION("IMPORTRANGE(""https://docs.google.com/spreadsheets/d/1QqKyyYR6Q21VydFLVH3TRQUabQu_ym0Zz7PgGX0-kHA/edit?usp=sharing"",""แผน!P38"")"),0)</f>
        <v>0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IFERROR(__xludf.DUMMYFUNCTION("IMPORTRANGE(""https://docs.google.com/spreadsheets/d/1QqKyyYR6Q21VydFLVH3TRQUabQu_ym0Zz7PgGX0-kHA/edit?usp=sharing"",""แผน!P38"")"),0)</f>
        <v>0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IFERROR(__xludf.DUMMYFUNCTION("IMPORTRANGE(""https://docs.google.com/spreadsheets/d/1QqKyyYR6Q21VydFLVH3TRQUabQu_ym0Zz7PgGX0-kHA/edit?usp=sharing"",""แผน!Q38"")"),1)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IFERROR(__xludf.DUMMYFUNCTION("IMPORTRANGE(""https://docs.google.com/spreadsheets/d/1QqKyyYR6Q21VydFLVH3TRQUabQu_ym0Zz7PgGX0-kHA/edit?usp=sharing"",""แผน!Q38"")"),1)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0</v>
      </c>
      <c r="M125" s="496">
        <f t="shared" ca="1" si="65"/>
        <v>0</v>
      </c>
      <c r="N125" s="496">
        <f t="shared" ca="1" si="65"/>
        <v>0</v>
      </c>
      <c r="O125" s="496">
        <f t="shared" ca="1" si="61"/>
        <v>0</v>
      </c>
      <c r="P125" s="496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0</v>
      </c>
      <c r="M135" s="496">
        <f t="shared" ca="1" si="73"/>
        <v>0</v>
      </c>
      <c r="N135" s="496">
        <f t="shared" ca="1" si="73"/>
        <v>0</v>
      </c>
      <c r="O135" s="496">
        <f t="shared" ca="1" si="70"/>
        <v>0</v>
      </c>
      <c r="P135" s="496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0</v>
      </c>
      <c r="M138" s="496">
        <f t="shared" ca="1" si="74"/>
        <v>0</v>
      </c>
      <c r="N138" s="496">
        <f t="shared" ca="1" si="74"/>
        <v>0</v>
      </c>
      <c r="O138" s="496">
        <f t="shared" ca="1" si="70"/>
        <v>0</v>
      </c>
      <c r="P138" s="496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 hidden="1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 hidden="1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 hidden="1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IFERROR(__xludf.DUMMYFUNCTION("IMPORTRANGE(""https://docs.google.com/spreadsheets/d/1QqKyyYR6Q21VydFLVH3TRQUabQu_ym0Zz7PgGX0-kHA/edit?usp=sharing"",""แผน!U38"")"),0)</f>
        <v>0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 hidden="1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IFERROR(__xludf.DUMMYFUNCTION("IMPORTRANGE(""https://docs.google.com/spreadsheets/d/1QqKyyYR6Q21VydFLVH3TRQUabQu_ym0Zz7PgGX0-kHA/edit?usp=sharing"",""แผน!V38"")"),0)</f>
        <v>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 hidden="1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IFERROR(__xludf.DUMMYFUNCTION("IMPORTRANGE(""https://docs.google.com/spreadsheets/d/1QqKyyYR6Q21VydFLVH3TRQUabQu_ym0Zz7PgGX0-kHA/edit?usp=sharing"",""แผน!W38"")"),0)</f>
        <v>0</v>
      </c>
      <c r="J146" s="214">
        <v>0</v>
      </c>
      <c r="K146" s="496">
        <f t="shared" ca="1" si="75"/>
        <v>0</v>
      </c>
      <c r="L146" s="496"/>
      <c r="M146" s="496"/>
      <c r="N146" s="496"/>
      <c r="O146" s="496"/>
      <c r="P146" s="496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10000</v>
      </c>
      <c r="M152" s="496">
        <f t="shared" ca="1" si="81"/>
        <v>10000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IFERROR(__xludf.DUMMYFUNCTION("IMPORTRANGE(""https://docs.google.com/spreadsheets/d/1MeEWN-I1oV_STSDYn1IFDPWt_1FKiwhDph83XaGc0o0/edit?usp=sharing"",""งบพรบ!BZ38"")"),10000)</f>
        <v>10000</v>
      </c>
      <c r="N154" s="93">
        <f ca="1">IFERROR(__xludf.DUMMYFUNCTION("IMPORTRANGE(""https://docs.google.com/spreadsheets/d/1MeEWN-I1oV_STSDYn1IFDPWt_1FKiwhDph83XaGc0o0/edit?usp=sharing"",""งบพรบ!CB38"")"),0)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IFERROR(__xludf.DUMMYFUNCTION("IMPORTRANGE(""https://docs.google.com/spreadsheets/d/1QqKyyYR6Q21VydFLVH3TRQUabQu_ym0Zz7PgGX0-kHA/edit?usp=sharing"",""แผน!X38"")"),20)</f>
        <v>20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10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21050</v>
      </c>
      <c r="M165" s="154">
        <f t="shared" ca="1" si="84"/>
        <v>21050</v>
      </c>
      <c r="N165" s="154">
        <f t="shared" ca="1" si="84"/>
        <v>7850</v>
      </c>
      <c r="O165" s="154">
        <f t="shared" ref="O165:O173" ca="1" si="85">IF(L165&gt;0,N165*100/L165,0)</f>
        <v>37.292161520190021</v>
      </c>
      <c r="P165" s="154">
        <f t="shared" ref="P165:P173" ca="1" si="86">IF(M165&gt;0,N165*100/M165,0)</f>
        <v>37.292161520190021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7850</v>
      </c>
      <c r="O167" s="93">
        <f t="shared" ca="1" si="85"/>
        <v>37.292161520190021</v>
      </c>
      <c r="P167" s="93">
        <f t="shared" ca="1" si="86"/>
        <v>37.292161520190021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21050</v>
      </c>
      <c r="M168" s="496">
        <f t="shared" ca="1" si="88"/>
        <v>21050</v>
      </c>
      <c r="N168" s="496">
        <f t="shared" ca="1" si="88"/>
        <v>7850</v>
      </c>
      <c r="O168" s="496">
        <f t="shared" ca="1" si="85"/>
        <v>37.292161520190021</v>
      </c>
      <c r="P168" s="496">
        <f t="shared" ca="1" si="86"/>
        <v>37.292161520190021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IFERROR(__xludf.DUMMYFUNCTION("IMPORTRANGE(""https://docs.google.com/spreadsheets/d/1MeEWN-I1oV_STSDYn1IFDPWt_1FKiwhDph83XaGc0o0/edit?usp=sharing"",""งบพรบ!CJ38"")"),21050)</f>
        <v>21050</v>
      </c>
      <c r="N170" s="93">
        <f ca="1">IFERROR(__xludf.DUMMYFUNCTION("IMPORTRANGE(""https://docs.google.com/spreadsheets/d/1MeEWN-I1oV_STSDYn1IFDPWt_1FKiwhDph83XaGc0o0/edit?usp=sharing"",""งบพรบ!CL38"")"),7850)</f>
        <v>7850</v>
      </c>
      <c r="O170" s="93">
        <f t="shared" ca="1" si="85"/>
        <v>37.292161520190021</v>
      </c>
      <c r="P170" s="93">
        <f t="shared" ca="1" si="86"/>
        <v>37.292161520190021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10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IFERROR(__xludf.DUMMYFUNCTION("IMPORTRANGE(""https://docs.google.com/spreadsheets/d/1QqKyyYR6Q21VydFLVH3TRQUabQu_ym0Zz7PgGX0-kHA/edit?usp=sharing"",""แผน!Y38"")"),10)</f>
        <v>10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1">L182+L183</f>
        <v>90000</v>
      </c>
      <c r="M181" s="154">
        <f t="shared" ca="1" si="91"/>
        <v>39000</v>
      </c>
      <c r="N181" s="154">
        <f t="shared" ca="1" si="91"/>
        <v>0</v>
      </c>
      <c r="O181" s="154">
        <f t="shared" ref="O181:O189" ca="1" si="92">IF(L181&gt;0,N181*100/L181,0)</f>
        <v>0</v>
      </c>
      <c r="P181" s="154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90000</v>
      </c>
      <c r="M183" s="93">
        <f t="shared" ca="1" si="94"/>
        <v>39000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90000</v>
      </c>
      <c r="M184" s="496">
        <f t="shared" ca="1" si="95"/>
        <v>39000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IFERROR(__xludf.DUMMYFUNCTION("IMPORTRANGE(""https://docs.google.com/spreadsheets/d/1MeEWN-I1oV_STSDYn1IFDPWt_1FKiwhDph83XaGc0o0/edit?usp=sharing"",""งบพรบ!CT38"")"),39000)</f>
        <v>39000</v>
      </c>
      <c r="N186" s="93">
        <f ca="1">IFERROR(__xludf.DUMMYFUNCTION("IMPORTRANGE(""https://docs.google.com/spreadsheets/d/1MeEWN-I1oV_STSDYn1IFDPWt_1FKiwhDph83XaGc0o0/edit?usp=sharing"",""งบพรบ!CV38"")"),0)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IFERROR(__xludf.DUMMYFUNCTION("IMPORTRANGE(""https://docs.google.com/spreadsheets/d/1QqKyyYR6Q21VydFLVH3TRQUabQu_ym0Zz7PgGX0-kHA/edit?usp=sharing"",""แผน!AC38"")"),4)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3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IFERROR(__xludf.DUMMYFUNCTION("IMPORTRANGE(""https://docs.google.com/spreadsheets/d/1QqKyyYR6Q21VydFLVH3TRQUabQu_ym0Zz7PgGX0-kHA/edit?usp=sharing"",""แผน!AE38"")"),3000)</f>
        <v>3000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IFERROR(__xludf.DUMMYFUNCTION("IMPORTRANGE(""https://docs.google.com/spreadsheets/d/1QqKyyYR6Q21VydFLVH3TRQUabQu_ym0Zz7PgGX0-kHA/edit?usp=sharing"",""แผน!AF38"")"),24000)</f>
        <v>24000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IFERROR(__xludf.DUMMYFUNCTION("IMPORTRANGE(""https://docs.google.com/spreadsheets/d/1QqKyyYR6Q21VydFLVH3TRQUabQu_ym0Zz7PgGX0-kHA/edit?usp=sharing"",""แผน!AG38"")"),12000)</f>
        <v>12000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IFERROR(__xludf.DUMMYFUNCTION("IMPORTRANGE(""https://docs.google.com/spreadsheets/d/1QqKyyYR6Q21VydFLVH3TRQUabQu_ym0Zz7PgGX0-kHA/edit?usp=sharing"",""แผน!AH38"")"),0)</f>
        <v>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IFERROR(__xludf.DUMMYFUNCTION("IMPORTRANGE(""https://docs.google.com/spreadsheets/d/1QqKyyYR6Q21VydFLVH3TRQUabQu_ym0Zz7PgGX0-kHA/edit?usp=sharing"",""แผน!AI38"")"),3)</f>
        <v>3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3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0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1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IFERROR(__xludf.DUMMYFUNCTION("IMPORTRANGE(""https://docs.google.com/spreadsheets/d/1QqKyyYR6Q21VydFLVH3TRQUabQu_ym0Zz7PgGX0-kHA/edit?usp=sharing"",""แผน!AK38"")"),1000)</f>
        <v>1000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IFERROR(__xludf.DUMMYFUNCTION("IMPORTRANGE(""https://docs.google.com/spreadsheets/d/1QqKyyYR6Q21VydFLVH3TRQUabQu_ym0Zz7PgGX0-kHA/edit?usp=sharing"",""แผน!AL38"")"),5000)</f>
        <v>5000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IFERROR(__xludf.DUMMYFUNCTION("IMPORTRANGE(""https://docs.google.com/spreadsheets/d/1QqKyyYR6Q21VydFLVH3TRQUabQu_ym0Zz7PgGX0-kHA/edit?usp=sharing"",""แผน!AM38"")"),8000)</f>
        <v>8000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IFERROR(__xludf.DUMMYFUNCTION("IMPORTRANGE(""https://docs.google.com/spreadsheets/d/1QqKyyYR6Q21VydFLVH3TRQUabQu_ym0Zz7PgGX0-kHA/edit?usp=sharing"",""แผน!AN38"")"),1)</f>
        <v>1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IFERROR(__xludf.DUMMYFUNCTION("IMPORTRANGE(""https://docs.google.com/spreadsheets/d/1QqKyyYR6Q21VydFLVH3TRQUabQu_ym0Zz7PgGX0-kHA/edit?usp=sharing"",""แผน!AN38"")"),1)</f>
        <v>1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100000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IFERROR(__xludf.DUMMYFUNCTION("IMPORTRANGE(""https://docs.google.com/spreadsheets/d/1QqKyyYR6Q21VydFLVH3TRQUabQu_ym0Zz7PgGX0-kHA/edit?usp=sharing"",""แผน!AP38"")"),6000)</f>
        <v>6000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IFERROR(__xludf.DUMMYFUNCTION("IMPORTRANGE(""https://docs.google.com/spreadsheets/d/1QqKyyYR6Q21VydFLVH3TRQUabQu_ym0Zz7PgGX0-kHA/edit?usp=sharing"",""แผน!AQ38"")"),25000)</f>
        <v>25000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IFERROR(__xludf.DUMMYFUNCTION("IMPORTRANGE(""https://docs.google.com/spreadsheets/d/1QqKyyYR6Q21VydFLVH3TRQUabQu_ym0Zz7PgGX0-kHA/edit?usp=sharing"",""แผน!AR38"")"),0)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IFERROR(__xludf.DUMMYFUNCTION("IMPORTRANGE(""https://docs.google.com/spreadsheets/d/1QqKyyYR6Q21VydFLVH3TRQUabQu_ym0Zz7PgGX0-kHA/edit?usp=sharing"",""แผน!AT38"")"),100000)</f>
        <v>100000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IFERROR(__xludf.DUMMYFUNCTION("IMPORTRANGE(""https://docs.google.com/spreadsheets/d/1QqKyyYR6Q21VydFLVH3TRQUabQu_ym0Zz7PgGX0-kHA/edit?usp=sharing"",""แผน!AT38"")"),100000)</f>
        <v>100000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IFERROR(__xludf.DUMMYFUNCTION("IMPORTRANGE(""https://docs.google.com/spreadsheets/d/1QqKyyYR6Q21VydFLVH3TRQUabQu_ym0Zz7PgGX0-kHA/edit?usp=sharing"",""แผน!AS38"")"),0)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IFERROR(__xludf.DUMMYFUNCTION("IMPORTRANGE(""https://docs.google.com/spreadsheets/d/1QqKyyYR6Q21VydFLVH3TRQUabQu_ym0Zz7PgGX0-kHA/edit?usp=sharing"",""แผน!AV38"")"),0)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IFERROR(__xludf.DUMMYFUNCTION("IMPORTRANGE(""https://docs.google.com/spreadsheets/d/1QqKyyYR6Q21VydFLVH3TRQUabQu_ym0Zz7PgGX0-kHA/edit?usp=sharing"",""แผน!AW38"")"),0)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IFERROR(__xludf.DUMMYFUNCTION("IMPORTRANGE(""https://docs.google.com/spreadsheets/d/1QqKyyYR6Q21VydFLVH3TRQUabQu_ym0Zz7PgGX0-kHA/edit?usp=sharing"",""แผน!AX38"")"),0)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IFERROR(__xludf.DUMMYFUNCTION("IMPORTRANGE(""https://docs.google.com/spreadsheets/d/1QqKyyYR6Q21VydFLVH3TRQUabQu_ym0Zz7PgGX0-kHA/edit?usp=sharing"",""แผน!AY38"")"),0)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IFERROR(__xludf.DUMMYFUNCTION("IMPORTRANGE(""https://docs.google.com/spreadsheets/d/1QqKyyYR6Q21VydFLVH3TRQUabQu_ym0Zz7PgGX0-kHA/edit?usp=sharing"",""แผน!BE38"")"),0)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IFERROR(__xludf.DUMMYFUNCTION("IMPORTRANGE(""https://docs.google.com/spreadsheets/d/1QqKyyYR6Q21VydFLVH3TRQUabQu_ym0Zz7PgGX0-kHA/edit?usp=sharing"",""แผน!AZ38"")"),0)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IFERROR(__xludf.DUMMYFUNCTION("IMPORTRANGE(""https://docs.google.com/spreadsheets/d/1QqKyyYR6Q21VydFLVH3TRQUabQu_ym0Zz7PgGX0-kHA/edit?usp=sharing"",""แผน!BA38"")"),0)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IFERROR(__xludf.DUMMYFUNCTION("IMPORTRANGE(""https://docs.google.com/spreadsheets/d/1QqKyyYR6Q21VydFLVH3TRQUabQu_ym0Zz7PgGX0-kHA/edit?usp=sharing"",""แผน!BB38"")"),0)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IFERROR(__xludf.DUMMYFUNCTION("IMPORTRANGE(""https://docs.google.com/spreadsheets/d/1QqKyyYR6Q21VydFLVH3TRQUabQu_ym0Zz7PgGX0-kHA/edit?usp=sharing"",""แผน!BC38"")"),0)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IFERROR(__xludf.DUMMYFUNCTION("IMPORTRANGE(""https://docs.google.com/spreadsheets/d/1QqKyyYR6Q21VydFLVH3TRQUabQu_ym0Zz7PgGX0-kHA/edit?usp=sharing"",""แผน!BF38"")"),0)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23900</v>
      </c>
      <c r="N264" s="496">
        <f t="shared" ca="1" si="119"/>
        <v>0</v>
      </c>
      <c r="O264" s="496">
        <f t="shared" ca="1" si="116"/>
        <v>0</v>
      </c>
      <c r="P264" s="496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IFERROR(__xludf.DUMMYFUNCTION("IMPORTRANGE(""https://docs.google.com/spreadsheets/d/1MeEWN-I1oV_STSDYn1IFDPWt_1FKiwhDph83XaGc0o0/edit?usp=sharing"",""งบพรบ!DD38"")"),23900)</f>
        <v>23900</v>
      </c>
      <c r="N266" s="93">
        <f ca="1">IFERROR(__xludf.DUMMYFUNCTION("IMPORTRANGE(""https://docs.google.com/spreadsheets/d/1MeEWN-I1oV_STSDYn1IFDPWt_1FKiwhDph83XaGc0o0/edit?usp=sharing"",""งบพรบ!DF38"")"),0)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IFERROR(__xludf.DUMMYFUNCTION("IMPORTRANGE(""https://docs.google.com/spreadsheets/d/1QqKyyYR6Q21VydFLVH3TRQUabQu_ym0Zz7PgGX0-kHA/edit?usp=sharing"",""แผน!EA38"")"),22)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10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405">
        <f t="shared" ref="I276:J276" ca="1" si="123">I287</f>
        <v>100</v>
      </c>
      <c r="J276" s="405">
        <f t="shared" si="123"/>
        <v>0</v>
      </c>
      <c r="K276" s="406">
        <f t="shared" ca="1" si="122"/>
        <v>0</v>
      </c>
      <c r="L276" s="407"/>
      <c r="M276" s="407"/>
      <c r="N276" s="407"/>
      <c r="O276" s="407"/>
      <c r="P276" s="407"/>
    </row>
    <row r="277" spans="1:26" ht="19.5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41010</v>
      </c>
      <c r="M277" s="155">
        <f t="shared" ca="1" si="124"/>
        <v>16820</v>
      </c>
      <c r="N277" s="155">
        <f t="shared" ca="1" si="124"/>
        <v>10460</v>
      </c>
      <c r="O277" s="155">
        <f t="shared" ref="O277:O285" ca="1" si="125">IF(L277&gt;0,N277*100/L277,0)</f>
        <v>25.505974152645695</v>
      </c>
      <c r="P277" s="155">
        <f t="shared" ref="P277:P285" ca="1" si="126">IF(M277&gt;0,N277*100/M277,0)</f>
        <v>62.187871581450651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41010</v>
      </c>
      <c r="M279" s="93">
        <f t="shared" ca="1" si="127"/>
        <v>16820</v>
      </c>
      <c r="N279" s="93">
        <f t="shared" ca="1" si="127"/>
        <v>10460</v>
      </c>
      <c r="O279" s="93">
        <f t="shared" ca="1" si="125"/>
        <v>25.505974152645695</v>
      </c>
      <c r="P279" s="93">
        <f t="shared" ca="1" si="126"/>
        <v>62.187871581450651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41010</v>
      </c>
      <c r="M280" s="496">
        <f t="shared" ca="1" si="128"/>
        <v>16820</v>
      </c>
      <c r="N280" s="496">
        <f t="shared" ca="1" si="128"/>
        <v>10460</v>
      </c>
      <c r="O280" s="496">
        <f t="shared" ca="1" si="125"/>
        <v>25.505974152645695</v>
      </c>
      <c r="P280" s="496">
        <f t="shared" ca="1" si="126"/>
        <v>62.187871581450651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IFERROR(__xludf.DUMMYFUNCTION("IMPORTRANGE(""https://docs.google.com/spreadsheets/d/1MeEWN-I1oV_STSDYn1IFDPWt_1FKiwhDph83XaGc0o0/edit?usp=sharing"",""งบพรบ!DN38"")"),16820)</f>
        <v>16820</v>
      </c>
      <c r="N282" s="93">
        <f ca="1">IFERROR(__xludf.DUMMYFUNCTION("IMPORTRANGE(""https://docs.google.com/spreadsheets/d/1MeEWN-I1oV_STSDYn1IFDPWt_1FKiwhDph83XaGc0o0/edit?usp=sharing"",""งบพรบ!DP38"")"),10460)</f>
        <v>10460</v>
      </c>
      <c r="O282" s="93">
        <f t="shared" ca="1" si="125"/>
        <v>25.505974152645695</v>
      </c>
      <c r="P282" s="93">
        <f t="shared" ca="1" si="126"/>
        <v>62.187871581450651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IFERROR(__xludf.DUMMYFUNCTION("IMPORTRANGE(""https://docs.google.com/spreadsheets/d/1QqKyyYR6Q21VydFLVH3TRQUabQu_ym0Zz7PgGX0-kHA/edit?usp=sharing"",""แผน!EC38"")"),100)</f>
        <v>100</v>
      </c>
      <c r="J287" s="214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IFERROR(__xludf.DUMMYFUNCTION("IMPORTRANGE(""https://docs.google.com/spreadsheets/d/1QqKyyYR6Q21VydFLVH3TRQUabQu_ym0Zz7PgGX0-kHA/edit?usp=sharing"",""แผน!EB38"")"),10)</f>
        <v>10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19" t="s">
        <v>133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>
      <c r="A294" s="377"/>
      <c r="B294" s="378"/>
      <c r="C294" s="378"/>
      <c r="D294" s="380"/>
      <c r="E294" s="725" t="s">
        <v>136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IFERROR(__xludf.DUMMYFUNCTION("IMPORTRANGE(""https://docs.google.com/spreadsheets/d/1QqKyyYR6Q21VydFLVH3TRQUabQu_ym0Zz7PgGX0-kHA/edit?usp=sharing"",""แผน!EB38"")"),10)</f>
        <v>10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25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387000</v>
      </c>
      <c r="M298" s="155">
        <f t="shared" ca="1" si="134"/>
        <v>190400</v>
      </c>
      <c r="N298" s="155">
        <f t="shared" ca="1" si="134"/>
        <v>41208.44</v>
      </c>
      <c r="O298" s="155">
        <f t="shared" ref="O298:O306" ca="1" si="135">IF(L298&gt;0,N298*100/L298,0)</f>
        <v>10.648175710594316</v>
      </c>
      <c r="P298" s="155">
        <f t="shared" ref="P298:P306" ca="1" si="136">IF(M298&gt;0,N298*100/M298,0)</f>
        <v>21.643088235294119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387000</v>
      </c>
      <c r="M300" s="93">
        <f t="shared" ca="1" si="137"/>
        <v>190400</v>
      </c>
      <c r="N300" s="93">
        <f t="shared" ca="1" si="137"/>
        <v>41208.44</v>
      </c>
      <c r="O300" s="93">
        <f t="shared" ca="1" si="135"/>
        <v>10.648175710594316</v>
      </c>
      <c r="P300" s="93">
        <f t="shared" ca="1" si="136"/>
        <v>21.643088235294119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387000</v>
      </c>
      <c r="M301" s="496">
        <f t="shared" ca="1" si="138"/>
        <v>190400</v>
      </c>
      <c r="N301" s="496">
        <f t="shared" ca="1" si="138"/>
        <v>41208.44</v>
      </c>
      <c r="O301" s="496">
        <f t="shared" ca="1" si="135"/>
        <v>10.648175710594316</v>
      </c>
      <c r="P301" s="496">
        <f t="shared" ca="1" si="136"/>
        <v>21.643088235294119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IFERROR(__xludf.DUMMYFUNCTION("IMPORTRANGE(""https://docs.google.com/spreadsheets/d/1MeEWN-I1oV_STSDYn1IFDPWt_1FKiwhDph83XaGc0o0/edit?usp=sharing"",""งบพรบ!DX38"")"),190400)</f>
        <v>190400</v>
      </c>
      <c r="N303" s="93">
        <f ca="1">IFERROR(__xludf.DUMMYFUNCTION("IMPORTRANGE(""https://docs.google.com/spreadsheets/d/1MeEWN-I1oV_STSDYn1IFDPWt_1FKiwhDph83XaGc0o0/edit?usp=sharing"",""งบพรบ!DZ38"")"),41208.44)</f>
        <v>41208.44</v>
      </c>
      <c r="O303" s="93">
        <f t="shared" ca="1" si="135"/>
        <v>10.648175710594316</v>
      </c>
      <c r="P303" s="93">
        <f t="shared" ca="1" si="136"/>
        <v>21.643088235294119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IFERROR(__xludf.DUMMYFUNCTION("IMPORTRANGE(""https://docs.google.com/spreadsheets/d/1QqKyyYR6Q21VydFLVH3TRQUabQu_ym0Zz7PgGX0-kHA/edit?usp=sharing"",""แผน!ED38"")"),25)</f>
        <v>25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IFERROR(__xludf.DUMMYFUNCTION("IMPORTRANGE(""https://docs.google.com/spreadsheets/d/1QqKyyYR6Q21VydFLVH3TRQUabQu_ym0Zz7PgGX0-kHA/edit?usp=sharing"",""แผน!ED38"")"),25)</f>
        <v>25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IFERROR(__xludf.DUMMYFUNCTION("IMPORTRANGE(""https://docs.google.com/spreadsheets/d/1QqKyyYR6Q21VydFLVH3TRQUabQu_ym0Zz7PgGX0-kHA/edit?usp=sharing"",""แผน!ED38"")"),25)</f>
        <v>25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IFERROR(__xludf.DUMMYFUNCTION("IMPORTRANGE(""https://docs.google.com/spreadsheets/d/1QqKyyYR6Q21VydFLVH3TRQUabQu_ym0Zz7PgGX0-kHA/edit?usp=sharing"",""แผน!EE38"")"),5)</f>
        <v>5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IFERROR(__xludf.DUMMYFUNCTION("IMPORTRANGE(""https://docs.google.com/spreadsheets/d/1QqKyyYR6Q21VydFLVH3TRQUabQu_ym0Zz7PgGX0-kHA/edit?usp=sharing"",""แผน!EF38"")"),0)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IFERROR(__xludf.DUMMYFUNCTION("IMPORTRANGE(""https://docs.google.com/spreadsheets/d/1QqKyyYR6Q21VydFLVH3TRQUabQu_ym0Zz7PgGX0-kHA/edit?usp=sharing"",""แผน!EG38"")"),6300)</f>
        <v>6300</v>
      </c>
      <c r="J327" s="443">
        <f ca="1">J338+J341+J342+J343</f>
        <v>2799</v>
      </c>
      <c r="K327" s="444">
        <f ca="1">IF(I327&gt;0,J327*100/I327,0)</f>
        <v>44.428571428571431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355200</v>
      </c>
      <c r="M328" s="155">
        <f t="shared" ca="1" si="148"/>
        <v>177600</v>
      </c>
      <c r="N328" s="155">
        <f t="shared" ca="1" si="148"/>
        <v>29416.720000000001</v>
      </c>
      <c r="O328" s="155">
        <f t="shared" ref="O328:O336" ca="1" si="149">IF(L328&gt;0,N328*100/L328,0)</f>
        <v>8.2817342342342339</v>
      </c>
      <c r="P328" s="155">
        <f t="shared" ref="P328:P336" ca="1" si="150">IF(M328&gt;0,N328*100/M328,0)</f>
        <v>16.563468468468468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355200</v>
      </c>
      <c r="M330" s="93">
        <f t="shared" ca="1" si="151"/>
        <v>177600</v>
      </c>
      <c r="N330" s="93">
        <f t="shared" ca="1" si="151"/>
        <v>29416.720000000001</v>
      </c>
      <c r="O330" s="93">
        <f t="shared" ca="1" si="149"/>
        <v>8.2817342342342339</v>
      </c>
      <c r="P330" s="93">
        <f t="shared" ca="1" si="150"/>
        <v>16.563468468468468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355200</v>
      </c>
      <c r="M331" s="496">
        <f t="shared" ca="1" si="152"/>
        <v>177600</v>
      </c>
      <c r="N331" s="496">
        <f t="shared" ca="1" si="152"/>
        <v>29416.720000000001</v>
      </c>
      <c r="O331" s="496">
        <f t="shared" ca="1" si="149"/>
        <v>8.2817342342342339</v>
      </c>
      <c r="P331" s="496">
        <f t="shared" ca="1" si="150"/>
        <v>16.563468468468468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IFERROR(__xludf.DUMMYFUNCTION("IMPORTRANGE(""https://docs.google.com/spreadsheets/d/1MeEWN-I1oV_STSDYn1IFDPWt_1FKiwhDph83XaGc0o0/edit?usp=sharing"",""งบพรบ!ER38"")"),177600)</f>
        <v>177600</v>
      </c>
      <c r="N333" s="93">
        <f ca="1">IFERROR(__xludf.DUMMYFUNCTION("IMPORTRANGE(""https://docs.google.com/spreadsheets/d/1MeEWN-I1oV_STSDYn1IFDPWt_1FKiwhDph83XaGc0o0/edit?usp=sharing"",""งบพรบ!ET38"")"),29416.72)</f>
        <v>29416.720000000001</v>
      </c>
      <c r="O333" s="93">
        <f t="shared" ca="1" si="149"/>
        <v>8.2817342342342339</v>
      </c>
      <c r="P333" s="93">
        <f t="shared" ca="1" si="150"/>
        <v>16.563468468468468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IFERROR(__xludf.DUMMYFUNCTION("IMPORTRANGE(""https://docs.google.com/spreadsheets/d/1QqKyyYR6Q21VydFLVH3TRQUabQu_ym0Zz7PgGX0-kHA/edit?usp=sharing"",""แผน!EG38"")"),6300)</f>
        <v>6300</v>
      </c>
      <c r="J338" s="269">
        <f ca="1">IFERROR(__xludf.DUMMYFUNCTION("IMPORTRANGE(""https://docs.google.com/spreadsheets/d/1kVcqe37tkHyjCSG3S0O1AXqVkqjo8mSIZil3BcpIysc/edit?usp=sharing"",""ศูนย์!D38"")"),2512)</f>
        <v>2512</v>
      </c>
      <c r="K338" s="496">
        <f ca="1">IF(I338&gt;0,J338*100/I338,0)</f>
        <v>39.873015873015873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IFERROR(__xludf.DUMMYFUNCTION("IMPORTRANGE(""https://docs.google.com/spreadsheets/d/1QqKyyYR6Q21VydFLVH3TRQUabQu_ym0Zz7PgGX0-kHA/edit?usp=sharing"",""แผน!EH38"")"),6)</f>
        <v>6</v>
      </c>
      <c r="J340" s="269">
        <f ca="1">IFERROR(__xludf.DUMMYFUNCTION("IMPORTRANGE(""https://docs.google.com/spreadsheets/d/1kVcqe37tkHyjCSG3S0O1AXqVkqjo8mSIZil3BcpIysc/edit?usp=sharing"",""ศูนย์!E38"")"),3)</f>
        <v>3</v>
      </c>
      <c r="K340" s="496">
        <f ca="1">IF(I340&gt;0,J340*100/I340,0)</f>
        <v>50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IFERROR(__xludf.DUMMYFUNCTION("IMPORTRANGE(""https://docs.google.com/spreadsheets/d/1kVcqe37tkHyjCSG3S0O1AXqVkqjo8mSIZil3BcpIysc/edit?usp=sharing"",""ศูนย์!F38"")"),286)</f>
        <v>286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IFERROR(__xludf.DUMMYFUNCTION("IMPORTRANGE(""https://docs.google.com/spreadsheets/d/1kVcqe37tkHyjCSG3S0O1AXqVkqjo8mSIZil3BcpIysc/edit?usp=sharing"",""ศูนย์!G38"")"),0)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IFERROR(__xludf.DUMMYFUNCTION("IMPORTRANGE(""https://docs.google.com/spreadsheets/d/1kVcqe37tkHyjCSG3S0O1AXqVkqjo8mSIZil3BcpIysc/edit?usp=sharing"",""ศูนย์!H38"")"),1)</f>
        <v>1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1329450</v>
      </c>
      <c r="M345" s="155">
        <f t="shared" ca="1" si="154"/>
        <v>721630</v>
      </c>
      <c r="N345" s="155">
        <f t="shared" ca="1" si="154"/>
        <v>351165.42000000004</v>
      </c>
      <c r="O345" s="155">
        <f t="shared" ref="O345:O353" ca="1" si="155">IF(L345&gt;0,N345*100/L345,0)</f>
        <v>26.414338260182788</v>
      </c>
      <c r="P345" s="155">
        <f t="shared" ref="P345:P353" ca="1" si="156">IF(M345&gt;0,N345*100/M345,0)</f>
        <v>48.662807810096595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1329450</v>
      </c>
      <c r="M347" s="93">
        <f t="shared" ca="1" si="157"/>
        <v>721630</v>
      </c>
      <c r="N347" s="93">
        <f t="shared" ca="1" si="157"/>
        <v>351165.42000000004</v>
      </c>
      <c r="O347" s="93">
        <f t="shared" ca="1" si="155"/>
        <v>26.414338260182788</v>
      </c>
      <c r="P347" s="93">
        <f t="shared" ca="1" si="156"/>
        <v>48.662807810096595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1215650</v>
      </c>
      <c r="M348" s="496">
        <f t="shared" ca="1" si="158"/>
        <v>607830</v>
      </c>
      <c r="N348" s="496">
        <f t="shared" ca="1" si="158"/>
        <v>237365.42</v>
      </c>
      <c r="O348" s="496">
        <f t="shared" ca="1" si="155"/>
        <v>19.525802657014765</v>
      </c>
      <c r="P348" s="496">
        <f t="shared" ca="1" si="156"/>
        <v>39.051284076139709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IFERROR(__xludf.DUMMYFUNCTION("IMPORTRANGE(""https://docs.google.com/spreadsheets/d/1MeEWN-I1oV_STSDYn1IFDPWt_1FKiwhDph83XaGc0o0/edit?usp=sharing"",""งบพรบ!FB38"")"),607830)</f>
        <v>607830</v>
      </c>
      <c r="N350" s="93">
        <f ca="1">IFERROR(__xludf.DUMMYFUNCTION("IMPORTRANGE(""https://docs.google.com/spreadsheets/d/1MeEWN-I1oV_STSDYn1IFDPWt_1FKiwhDph83XaGc0o0/edit?usp=sharing"",""งบพรบ!FD38"")"),237365.42)</f>
        <v>237365.42</v>
      </c>
      <c r="O350" s="93">
        <f t="shared" ca="1" si="155"/>
        <v>19.525802657014765</v>
      </c>
      <c r="P350" s="93">
        <f t="shared" ca="1" si="156"/>
        <v>39.051284076139709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113800</v>
      </c>
      <c r="M351" s="496">
        <f t="shared" ca="1" si="159"/>
        <v>113800</v>
      </c>
      <c r="N351" s="496">
        <f t="shared" ca="1" si="159"/>
        <v>113800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IFERROR(__xludf.DUMMYFUNCTION("IMPORTRANGE(""https://docs.google.com/spreadsheets/d/1QqKyyYR6Q21VydFLVH3TRQUabQu_ym0Zz7PgGX0-kHA/edit?usp=sharing"",""แผน!EP38"")"),696)</f>
        <v>696</v>
      </c>
      <c r="J355" s="463">
        <f ca="1">J362</f>
        <v>1</v>
      </c>
      <c r="K355" s="464">
        <f ca="1">IF(I355&gt;0,J355*100/I355,0)</f>
        <v>0.14367816091954022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IFERROR(__xludf.DUMMYFUNCTION("IMPORTRANGE(""https://docs.google.com/spreadsheets/d/1XWAQStnk-4SwqDmLtmXYiTMKHgktTP8We1SCoS47DrQ/edit?usp=sharing"",""จัดที่ดิน!W38"")"),60)</f>
        <v>60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IFERROR(__xludf.DUMMYFUNCTION("IMPORTRANGE(""https://docs.google.com/spreadsheets/d/1QqKyyYR6Q21VydFLVH3TRQUabQu_ym0Zz7PgGX0-kHA/edit?usp=sharing"",""แผน!EO38"")"),6960)</f>
        <v>6960</v>
      </c>
      <c r="J359" s="269">
        <f ca="1">IFERROR(__xludf.DUMMYFUNCTION("IMPORTRANGE(""https://docs.google.com/spreadsheets/d/1XWAQStnk-4SwqDmLtmXYiTMKHgktTP8We1SCoS47DrQ/edit?usp=sharing"",""จัดที่ดิน!X38"")"),549.31)</f>
        <v>549.30999999999995</v>
      </c>
      <c r="K359" s="496">
        <f t="shared" ca="1" si="160"/>
        <v>7.8923850574712633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IFERROR(__xludf.DUMMYFUNCTION("IMPORTRANGE(""https://docs.google.com/spreadsheets/d/1QqKyyYR6Q21VydFLVH3TRQUabQu_ym0Zz7PgGX0-kHA/edit?usp=sharing"",""แผน!EP38"")"),696)</f>
        <v>696</v>
      </c>
      <c r="J360" s="269">
        <f ca="1">IFERROR(__xludf.DUMMYFUNCTION("IMPORTRANGE(""https://docs.google.com/spreadsheets/d/1XWAQStnk-4SwqDmLtmXYiTMKHgktTP8We1SCoS47DrQ/edit?usp=sharing"",""จัดที่ดิน!Y38"")"),72)</f>
        <v>72</v>
      </c>
      <c r="K360" s="496">
        <f t="shared" ca="1" si="160"/>
        <v>10.344827586206897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IFERROR(__xludf.DUMMYFUNCTION("IMPORTRANGE(""https://docs.google.com/spreadsheets/d/1XWAQStnk-4SwqDmLtmXYiTMKHgktTP8We1SCoS47DrQ/edit?usp=sharing"",""จัดที่ดิน!Z38"")"),636.89)</f>
        <v>636.89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IFERROR(__xludf.DUMMYFUNCTION("IMPORTRANGE(""https://docs.google.com/spreadsheets/d/1QqKyyYR6Q21VydFLVH3TRQUabQu_ym0Zz7PgGX0-kHA/edit?usp=sharing"",""แผน!EP38"")"),696)</f>
        <v>696</v>
      </c>
      <c r="J362" s="269">
        <f ca="1">IFERROR(__xludf.DUMMYFUNCTION("IMPORTRANGE(""https://docs.google.com/spreadsheets/d/1XWAQStnk-4SwqDmLtmXYiTMKHgktTP8We1SCoS47DrQ/edit?usp=sharing"",""จัดที่ดิน!AA38"")"),1)</f>
        <v>1</v>
      </c>
      <c r="K362" s="496">
        <f t="shared" ca="1" si="160"/>
        <v>0.14367816091954022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IFERROR(__xludf.DUMMYFUNCTION("IMPORTRANGE(""https://docs.google.com/spreadsheets/d/1XWAQStnk-4SwqDmLtmXYiTMKHgktTP8We1SCoS47DrQ/edit?usp=sharing"",""จัดที่ดิน!AB38"")"),1.11)</f>
        <v>1.1100000000000001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1236</v>
      </c>
      <c r="J364" s="477">
        <f t="shared" ca="1" si="161"/>
        <v>2</v>
      </c>
      <c r="K364" s="478">
        <f t="shared" ca="1" si="160"/>
        <v>0.16181229773462782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IFERROR(__xludf.DUMMYFUNCTION("IMPORTRANGE(""https://docs.google.com/spreadsheets/d/1QqKyyYR6Q21VydFLVH3TRQUabQu_ym0Zz7PgGX0-kHA/edit?usp=sharing"",""แผน!EJ38"")"),496)</f>
        <v>496</v>
      </c>
      <c r="J365" s="489">
        <f ca="1">J372</f>
        <v>1</v>
      </c>
      <c r="K365" s="490">
        <f t="shared" ca="1" si="160"/>
        <v>0.20161290322580644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IFERROR(__xludf.DUMMYFUNCTION("IMPORTRANGE(""https://docs.google.com/spreadsheets/d/1XWAQStnk-4SwqDmLtmXYiTMKHgktTP8We1SCoS47DrQ/edit?usp=sharing"",""จัดที่ดิน!E38"")"),51)</f>
        <v>51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IFERROR(__xludf.DUMMYFUNCTION("IMPORTRANGE(""https://docs.google.com/spreadsheets/d/1QqKyyYR6Q21VydFLVH3TRQUabQu_ym0Zz7PgGX0-kHA/edit?usp=sharing"",""แผน!EI38"")"),4960)</f>
        <v>4960</v>
      </c>
      <c r="J369" s="269">
        <f ca="1">IFERROR(__xludf.DUMMYFUNCTION("IMPORTRANGE(""https://docs.google.com/spreadsheets/d/1XWAQStnk-4SwqDmLtmXYiTMKHgktTP8We1SCoS47DrQ/edit?usp=sharing"",""จัดที่ดิน!F38"")"),412.68)</f>
        <v>412.68</v>
      </c>
      <c r="K369" s="496">
        <f t="shared" ca="1" si="162"/>
        <v>8.3201612903225808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IFERROR(__xludf.DUMMYFUNCTION("IMPORTRANGE(""https://docs.google.com/spreadsheets/d/1QqKyyYR6Q21VydFLVH3TRQUabQu_ym0Zz7PgGX0-kHA/edit?usp=sharing"",""แผน!EJ38"")"),496)</f>
        <v>496</v>
      </c>
      <c r="J370" s="269">
        <f ca="1">IFERROR(__xludf.DUMMYFUNCTION("IMPORTRANGE(""https://docs.google.com/spreadsheets/d/1XWAQStnk-4SwqDmLtmXYiTMKHgktTP8We1SCoS47DrQ/edit?usp=sharing"",""จัดที่ดิน!G38"")"),72)</f>
        <v>72</v>
      </c>
      <c r="K370" s="496">
        <f t="shared" ca="1" si="162"/>
        <v>14.516129032258064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IFERROR(__xludf.DUMMYFUNCTION("IMPORTRANGE(""https://docs.google.com/spreadsheets/d/1XWAQStnk-4SwqDmLtmXYiTMKHgktTP8We1SCoS47DrQ/edit?usp=sharing"",""จัดที่ดิน!H38"")"),636.89)</f>
        <v>636.89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IFERROR(__xludf.DUMMYFUNCTION("IMPORTRANGE(""https://docs.google.com/spreadsheets/d/1QqKyyYR6Q21VydFLVH3TRQUabQu_ym0Zz7PgGX0-kHA/edit?usp=sharing"",""แผน!EJ38"")"),496)</f>
        <v>496</v>
      </c>
      <c r="J372" s="269">
        <f ca="1">IFERROR(__xludf.DUMMYFUNCTION("IMPORTRANGE(""https://docs.google.com/spreadsheets/d/1XWAQStnk-4SwqDmLtmXYiTMKHgktTP8We1SCoS47DrQ/edit?usp=sharing"",""จัดที่ดิน!I38"")"),1)</f>
        <v>1</v>
      </c>
      <c r="K372" s="496">
        <f t="shared" ca="1" si="162"/>
        <v>0.20161290322580644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IFERROR(__xludf.DUMMYFUNCTION("IMPORTRANGE(""https://docs.google.com/spreadsheets/d/1XWAQStnk-4SwqDmLtmXYiTMKHgktTP8We1SCoS47DrQ/edit?usp=sharing"",""จัดที่ดิน!J38"")"),1.11)</f>
        <v>1.1100000000000001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IFERROR(__xludf.DUMMYFUNCTION("IMPORTRANGE(""https://docs.google.com/spreadsheets/d/1QqKyyYR6Q21VydFLVH3TRQUabQu_ym0Zz7PgGX0-kHA/edit?usp=sharing"",""แผน!EU38"")"),740)</f>
        <v>740</v>
      </c>
      <c r="J374" s="489">
        <f ca="1">J381</f>
        <v>1</v>
      </c>
      <c r="K374" s="490">
        <f t="shared" ca="1" si="162"/>
        <v>0.13513513513513514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IFERROR(__xludf.DUMMYFUNCTION("IMPORTRANGE(""https://docs.google.com/spreadsheets/d/1XWAQStnk-4SwqDmLtmXYiTMKHgktTP8We1SCoS47DrQ/edit?usp=sharing"",""จัดที่ดิน!AH38"")"),9)</f>
        <v>9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IFERROR(__xludf.DUMMYFUNCTION("IMPORTRANGE(""https://docs.google.com/spreadsheets/d/1QqKyyYR6Q21VydFLVH3TRQUabQu_ym0Zz7PgGX0-kHA/edit?usp=sharing"",""แผน!ET38"")"),2000)</f>
        <v>2000</v>
      </c>
      <c r="J378" s="269">
        <f ca="1">IFERROR(__xludf.DUMMYFUNCTION("IMPORTRANGE(""https://docs.google.com/spreadsheets/d/1XWAQStnk-4SwqDmLtmXYiTMKHgktTP8We1SCoS47DrQ/edit?usp=sharing"",""จัดที่ดิน!AI38"")"),136.63)</f>
        <v>136.63</v>
      </c>
      <c r="K378" s="496">
        <f t="shared" ca="1" si="163"/>
        <v>6.8315000000000001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IFERROR(__xludf.DUMMYFUNCTION("IMPORTRANGE(""https://docs.google.com/spreadsheets/d/1QqKyyYR6Q21VydFLVH3TRQUabQu_ym0Zz7PgGX0-kHA/edit?usp=sharing"",""แผน!EU38"")"),740)</f>
        <v>740</v>
      </c>
      <c r="J379" s="269">
        <f ca="1">IFERROR(__xludf.DUMMYFUNCTION("IMPORTRANGE(""https://docs.google.com/spreadsheets/d/1XWAQStnk-4SwqDmLtmXYiTMKHgktTP8We1SCoS47DrQ/edit?usp=sharing"",""จัดที่ดิน!AJ38"")"),1)</f>
        <v>1</v>
      </c>
      <c r="K379" s="496">
        <f t="shared" ca="1" si="163"/>
        <v>0.13513513513513514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IFERROR(__xludf.DUMMYFUNCTION("IMPORTRANGE(""https://docs.google.com/spreadsheets/d/1XWAQStnk-4SwqDmLtmXYiTMKHgktTP8We1SCoS47DrQ/edit?usp=sharing"",""จัดที่ดิน!AK38"")"),24.86)</f>
        <v>24.86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IFERROR(__xludf.DUMMYFUNCTION("IMPORTRANGE(""https://docs.google.com/spreadsheets/d/1QqKyyYR6Q21VydFLVH3TRQUabQu_ym0Zz7PgGX0-kHA/edit?usp=sharing"",""แผน!EU38"")"),740)</f>
        <v>740</v>
      </c>
      <c r="J381" s="269">
        <f ca="1">IFERROR(__xludf.DUMMYFUNCTION("IMPORTRANGE(""https://docs.google.com/spreadsheets/d/1XWAQStnk-4SwqDmLtmXYiTMKHgktTP8We1SCoS47DrQ/edit?usp=sharing"",""จัดที่ดิน!AL38"")"),1)</f>
        <v>1</v>
      </c>
      <c r="K381" s="496">
        <f t="shared" ca="1" si="163"/>
        <v>0.13513513513513514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IFERROR(__xludf.DUMMYFUNCTION("IMPORTRANGE(""https://docs.google.com/spreadsheets/d/1XWAQStnk-4SwqDmLtmXYiTMKHgktTP8We1SCoS47DrQ/edit?usp=sharing"",""จัดที่ดิน!AM38"")"),24.86)</f>
        <v>24.86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IFERROR(__xludf.DUMMYFUNCTION("IMPORTRANGE(""https://docs.google.com/spreadsheets/d/1QqKyyYR6Q21VydFLVH3TRQUabQu_ym0Zz7PgGX0-kHA/edit?usp=sharing"",""แผน!EW38"")"),50)</f>
        <v>50</v>
      </c>
      <c r="J385" s="499">
        <f ca="1">IFERROR(__xludf.DUMMYFUNCTION("IMPORTRANGE(""https://docs.google.com/spreadsheets/d/1XWAQStnk-4SwqDmLtmXYiTMKHgktTP8We1SCoS47DrQ/edit?usp=sharing"",""จัดที่ดิน!AP38"")"),0)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3084543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79660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79660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79660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IFERROR(__xludf.DUMMYFUNCTION("IMPORTRANGE(""https://docs.google.com/spreadsheets/d/1QqKyyYR6Q21VydFLVH3TRQUabQu_ym0Zz7PgGX0-kHA/edit?usp=sharing"",""แผน!FC38"")"),20)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IFERROR(__xludf.DUMMYFUNCTION("IMPORTRANGE(""https://docs.google.com/spreadsheets/d/1QqKyyYR6Q21VydFLVH3TRQUabQu_ym0Zz7PgGX0-kHA/edit?usp=sharing"",""แผน!FD38"")"),0)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IFERROR(__xludf.DUMMYFUNCTION("IMPORTRANGE(""https://docs.google.com/spreadsheets/d/1QqKyyYR6Q21VydFLVH3TRQUabQu_ym0Zz7PgGX0-kHA/edit?usp=sharing"",""แผน!FE38"")"),0)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IFERROR(__xludf.DUMMYFUNCTION("IMPORTRANGE(""https://docs.google.com/spreadsheets/d/1QqKyyYR6Q21VydFLVH3TRQUabQu_ym0Zz7PgGX0-kHA/edit?usp=sharing"",""แผน!FF38"")"),20)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IFERROR(__xludf.DUMMYFUNCTION("IMPORTRANGE(""https://docs.google.com/spreadsheets/d/1QqKyyYR6Q21VydFLVH3TRQUabQu_ym0Zz7PgGX0-kHA/edit?usp=sharing"",""แผน!FG38"")"),1)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IFERROR(__xludf.DUMMYFUNCTION("IMPORTRANGE(""https://docs.google.com/spreadsheets/d/1QqKyyYR6Q21VydFLVH3TRQUabQu_ym0Zz7PgGX0-kHA/edit?usp=sharing"",""แผน!FH38"")"),0)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55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550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717500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717500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717500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IFERROR(__xludf.DUMMYFUNCTION("IMPORTRANGE(""https://docs.google.com/spreadsheets/d/1QqKyyYR6Q21VydFLVH3TRQUabQu_ym0Zz7PgGX0-kHA/edit?usp=sharing"",""แผน!FN38"")"),55)</f>
        <v>55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IFERROR(__xludf.DUMMYFUNCTION("IMPORTRANGE(""https://docs.google.com/spreadsheets/d/1QqKyyYR6Q21VydFLVH3TRQUabQu_ym0Zz7PgGX0-kHA/edit?usp=sharing"",""แผน!FO38"")"),550)</f>
        <v>550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IFERROR(__xludf.DUMMYFUNCTION("IMPORTRANGE(""https://docs.google.com/spreadsheets/d/1QqKyyYR6Q21VydFLVH3TRQUabQu_ym0Zz7PgGX0-kHA/edit?usp=sharing"",""แผน!FO38"")"),550)</f>
        <v>550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IFERROR(__xludf.DUMMYFUNCTION("IMPORTRANGE(""https://docs.google.com/spreadsheets/d/1QqKyyYR6Q21VydFLVH3TRQUabQu_ym0Zz7PgGX0-kHA/edit?usp=sharing"",""แผน!FN38"")"),55)</f>
        <v>55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IFERROR(__xludf.DUMMYFUNCTION("IMPORTRANGE(""https://docs.google.com/spreadsheets/d/1QqKyyYR6Q21VydFLVH3TRQUabQu_ym0Zz7PgGX0-kHA/edit?usp=sharing"",""แผน!FX38"")"),131)</f>
        <v>131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IFERROR(__xludf.DUMMYFUNCTION("IMPORTRANGE(""https://docs.google.com/spreadsheets/d/1QqKyyYR6Q21VydFLVH3TRQUabQu_ym0Zz7PgGX0-kHA/edit?usp=sharing"",""แผน!FW38"")"),1300)</f>
        <v>1300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1161548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IFERROR(__xludf.DUMMYFUNCTION("IMPORTRANGE(""https://docs.google.com/spreadsheets/d/1QqKyyYR6Q21VydFLVH3TRQUabQu_ym0Zz7PgGX0-kHA/edit?usp=sharing"",""แผน!FS38"")"),1161548)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IFERROR(__xludf.DUMMYFUNCTION("IMPORTRANGE(""https://docs.google.com/spreadsheets/d/1QqKyyYR6Q21VydFLVH3TRQUabQu_ym0Zz7PgGX0-kHA/edit?usp=sharing"",""แผน!FY38"")"),1170)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IFERROR(__xludf.DUMMYFUNCTION("IMPORTRANGE(""https://docs.google.com/spreadsheets/d/1QqKyyYR6Q21VydFLVH3TRQUabQu_ym0Zz7PgGX0-kHA/edit?usp=sharing"",""แผน!FZ38"")"),117)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IFERROR(__xludf.DUMMYFUNCTION("IMPORTRANGE(""https://docs.google.com/spreadsheets/d/1QqKyyYR6Q21VydFLVH3TRQUabQu_ym0Zz7PgGX0-kHA/edit?usp=sharing"",""แผน!GA38"")"),130)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IFERROR(__xludf.DUMMYFUNCTION("IMPORTRANGE(""https://docs.google.com/spreadsheets/d/1QqKyyYR6Q21VydFLVH3TRQUabQu_ym0Zz7PgGX0-kHA/edit?usp=sharing"",""แผน!GB38"")"),13)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IFERROR(__xludf.DUMMYFUNCTION("IMPORTRANGE(""https://docs.google.com/spreadsheets/d/1QqKyyYR6Q21VydFLVH3TRQUabQu_ym0Zz7PgGX0-kHA/edit?usp=sharing"",""แผน!GC38"")"),1)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IFERROR(__xludf.DUMMYFUNCTION("IMPORTRANGE(""https://docs.google.com/spreadsheets/d/1QqKyyYR6Q21VydFLVH3TRQUabQu_ym0Zz7PgGX0-kHA/edit?usp=sharing"",""แผน!FY38"")"),1170)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IFERROR(__xludf.DUMMYFUNCTION("IMPORTRANGE(""https://docs.google.com/spreadsheets/d/1QqKyyYR6Q21VydFLVH3TRQUabQu_ym0Zz7PgGX0-kHA/edit?usp=sharing"",""แผน!GA38"")"),130)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IFERROR(__xludf.DUMMYFUNCTION("IMPORTRANGE(""https://docs.google.com/spreadsheets/d/1QqKyyYR6Q21VydFLVH3TRQUabQu_ym0Zz7PgGX0-kHA/edit?usp=sharing"",""แผน!GU38"")"),0)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IFERROR(__xludf.DUMMYFUNCTION("IMPORTRANGE(""https://docs.google.com/spreadsheets/d/1QqKyyYR6Q21VydFLVH3TRQUabQu_ym0Zz7PgGX0-kHA/edit?usp=sharing"",""แผน!GV38"")"),0)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IFERROR(__xludf.DUMMYFUNCTION("IMPORTRANGE(""https://docs.google.com/spreadsheets/d/1QqKyyYR6Q21VydFLVH3TRQUabQu_ym0Zz7PgGX0-kHA/edit?usp=sharing"",""แผน!GW38"")"),0)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IFERROR(__xludf.DUMMYFUNCTION("IMPORTRANGE(""https://docs.google.com/spreadsheets/d/1QqKyyYR6Q21VydFLVH3TRQUabQu_ym0Zz7PgGX0-kHA/edit?usp=sharing"",""แผน!GX38"")"),0)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IFERROR(__xludf.DUMMYFUNCTION("IMPORTRANGE(""https://docs.google.com/spreadsheets/d/1QqKyyYR6Q21VydFLVH3TRQUabQu_ym0Zz7PgGX0-kHA/edit?usp=sharing"",""แผน!GY38"")"),0)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IFERROR(__xludf.DUMMYFUNCTION("IMPORTRANGE(""https://docs.google.com/spreadsheets/d/1QqKyyYR6Q21VydFLVH3TRQUabQu_ym0Zz7PgGX0-kHA/edit?usp=sharing"",""แผน!GZ38"")"),0)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52289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539850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539850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539850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IFERROR(__xludf.DUMMYFUNCTION("IMPORTRANGE(""https://docs.google.com/spreadsheets/d/1QqKyyYR6Q21VydFLVH3TRQUabQu_ym0Zz7PgGX0-kHA/edit?usp=sharing"",""แผน!HB38"")"),539850)</f>
        <v>539850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52289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IFERROR(__xludf.DUMMYFUNCTION("IMPORTRANGE(""https://docs.google.com/spreadsheets/d/1QqKyyYR6Q21VydFLVH3TRQUabQu_ym0Zz7PgGX0-kHA/edit?usp=sharing"",""แผน!HH38"")"),52289)</f>
        <v>52289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IFERROR(__xludf.DUMMYFUNCTION("IMPORTRANGE(""https://docs.google.com/spreadsheets/d/1QqKyyYR6Q21VydFLVH3TRQUabQu_ym0Zz7PgGX0-kHA/edit?usp=sharing"",""แผน!HH38"")"),52289)</f>
        <v>52289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IFERROR(__xludf.DUMMYFUNCTION("IMPORTRANGE(""https://docs.google.com/spreadsheets/d/1QqKyyYR6Q21VydFLVH3TRQUabQu_ym0Zz7PgGX0-kHA/edit?usp=sharing"",""แผน!HH38"")"),52289)</f>
        <v>52289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7279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IFERROR(__xludf.DUMMYFUNCTION("IMPORTRANGE(""https://docs.google.com/spreadsheets/d/1QqKyyYR6Q21VydFLVH3TRQUabQu_ym0Zz7PgGX0-kHA/edit?usp=sharing"",""แผน!HJ38"")"),7279)</f>
        <v>7279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IFERROR(__xludf.DUMMYFUNCTION("IMPORTRANGE(""https://docs.google.com/spreadsheets/d/1QqKyyYR6Q21VydFLVH3TRQUabQu_ym0Zz7PgGX0-kHA/edit?usp=sharing"",""แผน!HL38"")"),0)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IFERROR(__xludf.DUMMYFUNCTION("IMPORTRANGE(""https://docs.google.com/spreadsheets/d/1QqKyyYR6Q21VydFLVH3TRQUabQu_ym0Zz7PgGX0-kHA/edit?usp=sharing"",""แผน!HK38"")"),0)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240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501175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501175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501175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IFERROR(__xludf.DUMMYFUNCTION("IMPORTRANGE(""https://docs.google.com/spreadsheets/d/1QqKyyYR6Q21VydFLVH3TRQUabQu_ym0Zz7PgGX0-kHA/edit?usp=sharing"",""แผน!HR38"")"),1)</f>
        <v>1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IFERROR(__xludf.DUMMYFUNCTION("IMPORTRANGE(""https://docs.google.com/spreadsheets/d/1QqKyyYR6Q21VydFLVH3TRQUabQu_ym0Zz7PgGX0-kHA/edit?usp=sharing"",""แผน!HR38"")"),1)</f>
        <v>1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IFERROR(__xludf.DUMMYFUNCTION("IMPORTRANGE(""https://docs.google.com/spreadsheets/d/1XWAQStnk-4SwqDmLtmXYiTMKHgktTP8We1SCoS47DrQ/edit?usp=sharing"",""จัดที่ดิน!AS38"")"),0)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IFERROR(__xludf.DUMMYFUNCTION("IMPORTRANGE(""https://docs.google.com/spreadsheets/d/1XWAQStnk-4SwqDmLtmXYiTMKHgktTP8We1SCoS47DrQ/edit?usp=sharing"",""จัดที่ดิน!AT38"")"),0)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IFERROR(__xludf.DUMMYFUNCTION("IMPORTRANGE(""https://docs.google.com/spreadsheets/d/1QqKyyYR6Q21VydFLVH3TRQUabQu_ym0Zz7PgGX0-kHA/edit?usp=sharing"",""แผน!HS38"")"),240)</f>
        <v>240</v>
      </c>
      <c r="J647" s="269">
        <f ca="1">IFERROR(__xludf.DUMMYFUNCTION("IMPORTRANGE(""https://docs.google.com/spreadsheets/d/1XWAQStnk-4SwqDmLtmXYiTMKHgktTP8We1SCoS47DrQ/edit?usp=sharing"",""จัดที่ดิน!AU38"")"),0)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IFERROR(__xludf.DUMMYFUNCTION("IMPORTRANGE(""https://docs.google.com/spreadsheets/d/1XWAQStnk-4SwqDmLtmXYiTMKHgktTP8We1SCoS47DrQ/edit?usp=sharing"",""จัดที่ดิน!AV38"")"),0)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IFERROR(__xludf.DUMMYFUNCTION("IMPORTRANGE(""https://docs.google.com/spreadsheets/d/1QqKyyYR6Q21VydFLVH3TRQUabQu_ym0Zz7PgGX0-kHA/edit?usp=sharing"",""แผน!HS38"")"),240)</f>
        <v>240</v>
      </c>
      <c r="J649" s="269">
        <f ca="1">IFERROR(__xludf.DUMMYFUNCTION("IMPORTRANGE(""https://docs.google.com/spreadsheets/d/1XWAQStnk-4SwqDmLtmXYiTMKHgktTP8We1SCoS47DrQ/edit?usp=sharing"",""จัดที่ดิน!AW38"")"),0)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IFERROR(__xludf.DUMMYFUNCTION("IMPORTRANGE(""https://docs.google.com/spreadsheets/d/1XWAQStnk-4SwqDmLtmXYiTMKHgktTP8We1SCoS47DrQ/edit?usp=sharing"",""จัดที่ดิน!AX38"")"),0)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IFERROR(__xludf.DUMMYFUNCTION("IMPORTRANGE(""https://docs.google.com/spreadsheets/d/1QqKyyYR6Q21VydFLVH3TRQUabQu_ym0Zz7PgGX0-kHA/edit?usp=sharing"",""แผน!HS38"")"),240)</f>
        <v>240</v>
      </c>
      <c r="J651" s="269">
        <f ca="1">IFERROR(__xludf.DUMMYFUNCTION("IMPORTRANGE(""https://docs.google.com/spreadsheets/d/1XWAQStnk-4SwqDmLtmXYiTMKHgktTP8We1SCoS47DrQ/edit?usp=sharing"",""จัดที่ดิน!AY38"")"),0)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IFERROR(__xludf.DUMMYFUNCTION("IMPORTRANGE(""https://docs.google.com/spreadsheets/d/1XWAQStnk-4SwqDmLtmXYiTMKHgktTP8We1SCoS47DrQ/edit?usp=sharing"",""จัดที่ดิน!AZ38"")"),0)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100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15600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15600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15600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IFERROR(__xludf.DUMMYFUNCTION("IMPORTRANGE(""https://docs.google.com/spreadsheets/d/1QqKyyYR6Q21VydFLVH3TRQUabQu_ym0Zz7PgGX0-kHA/edit?usp=sharing"",""แผน!IA38"")"),100)</f>
        <v>100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IFERROR(__xludf.DUMMYFUNCTION("IMPORTRANGE(""https://docs.google.com/spreadsheets/d/1QqKyyYR6Q21VydFLVH3TRQUabQu_ym0Zz7PgGX0-kHA/edit?usp=sharing"",""แผน!HZ38"")"),6)</f>
        <v>6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IFERROR(__xludf.DUMMYFUNCTION("IMPORTRANGE(""https://docs.google.com/spreadsheets/d/1QqKyyYR6Q21VydFLVH3TRQUabQu_ym0Zz7PgGX0-kHA/edit?usp=sharing"",""แผน!HZ38"")"),6)</f>
        <v>6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IFERROR(__xludf.DUMMYFUNCTION("IMPORTRANGE(""https://docs.google.com/spreadsheets/d/1QqKyyYR6Q21VydFLVH3TRQUabQu_ym0Zz7PgGX0-kHA/edit?usp=sharing"",""แผน!IB38"")"),0)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69210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69210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69210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IFERROR(__xludf.DUMMYFUNCTION("IMPORTRANGE(""https://docs.google.com/spreadsheets/d/1QqKyyYR6Q21VydFLVH3TRQUabQu_ym0Zz7PgGX0-kHA/edit?usp=sharing"",""แผน!IC38"")"),0)</f>
        <v>0</v>
      </c>
      <c r="J699" s="269">
        <f ca="1">IFERROR(__xludf.DUMMYFUNCTION("IMPORTRANGE(""https://docs.google.com/spreadsheets/d/1XWAQStnk-4SwqDmLtmXYiTMKHgktTP8We1SCoS47DrQ/edit?usp=sharing"",""จัดที่ดิน!BB38"")"),0)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IFERROR(__xludf.DUMMYFUNCTION("IMPORTRANGE(""https://docs.google.com/spreadsheets/d/1QqKyyYR6Q21VydFLVH3TRQUabQu_ym0Zz7PgGX0-kHA/edit?usp=sharing"",""แผน!ID38"")"),0)</f>
        <v>0</v>
      </c>
      <c r="J700" s="269">
        <f ca="1">IFERROR(__xludf.DUMMYFUNCTION("IMPORTRANGE(""https://docs.google.com/spreadsheets/d/1XWAQStnk-4SwqDmLtmXYiTMKHgktTP8We1SCoS47DrQ/edit?usp=sharing"",""จัดที่ดิน!BD38"")"),0)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IFERROR(__xludf.DUMMYFUNCTION("IMPORTRANGE(""https://docs.google.com/spreadsheets/d/1QqKyyYR6Q21VydFLVH3TRQUabQu_ym0Zz7PgGX0-kHA/edit?usp=sharing"",""แผน!IE38"")"),10)</f>
        <v>10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IFERROR(__xludf.DUMMYFUNCTION("IMPORTRANGE(""https://docs.google.com/spreadsheets/d/1QqKyyYR6Q21VydFLVH3TRQUabQu_ym0Zz7PgGX0-kHA/edit?usp=sharing"",""แผน!IF38"")"),10)</f>
        <v>10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IFERROR(__xludf.DUMMYFUNCTION("IMPORTRANGE(""https://docs.google.com/spreadsheets/d/1QqKyyYR6Q21VydFLVH3TRQUabQu_ym0Zz7PgGX0-kHA/edit?usp=sharing"",""แผน!IG38"")"),0)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IFERROR(__xludf.DUMMYFUNCTION("IMPORTRANGE(""https://docs.google.com/spreadsheets/d/1QqKyyYR6Q21VydFLVH3TRQUabQu_ym0Zz7PgGX0-kHA/edit?usp=sharing"",""แผน!IH38"")"),0)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IFERROR(__xludf.DUMMYFUNCTION("IMPORTRANGE(""https://docs.google.com/spreadsheets/d/1XWAQStnk-4SwqDmLtmXYiTMKHgktTP8We1SCoS47DrQ/edit?usp=sharing"",""จัดที่ดิน!BF38"")"),0)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IFERROR(__xludf.DUMMYFUNCTION("IMPORTRANGE(""https://docs.google.com/spreadsheets/d/1XWAQStnk-4SwqDmLtmXYiTMKHgktTP8We1SCoS47DrQ/edit?usp=sharing"",""จัดที่ดิน!BG38"")"),0)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IFERROR(__xludf.DUMMYFUNCTION("IMPORTRANGE(""https://docs.google.com/spreadsheets/d/1QqKyyYR6Q21VydFLVH3TRQUabQu_ym0Zz7PgGX0-kHA/edit?usp=sharing"",""แผน!II38"")"),69)</f>
        <v>69</v>
      </c>
      <c r="J720" s="269">
        <f ca="1">IFERROR(__xludf.DUMMYFUNCTION("IMPORTRANGE(""https://docs.google.com/spreadsheets/d/1XWAQStnk-4SwqDmLtmXYiTMKHgktTP8We1SCoS47DrQ/edit?usp=sharing"",""จัดที่ดิน!BH38"")"),0)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IFERROR(__xludf.DUMMYFUNCTION("IMPORTRANGE(""https://docs.google.com/spreadsheets/d/1QqKyyYR6Q21VydFLVH3TRQUabQu_ym0Zz7PgGX0-kHA/edit?usp=sharing"",""แผน!IJ38"")"),2)</f>
        <v>2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IFERROR(__xludf.DUMMYFUNCTION("IMPORTRANGE(""https://docs.google.com/spreadsheets/d/1QqKyyYR6Q21VydFLVH3TRQUabQu_ym0Zz7PgGX0-kHA/edit?usp=sharing"",""แผน!IK38"")"),10)</f>
        <v>10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IFERROR(__xludf.DUMMYFUNCTION("IMPORTRANGE(""https://docs.google.com/spreadsheets/d/1QqKyyYR6Q21VydFLVH3TRQUabQu_ym0Zz7PgGX0-kHA/edit?usp=sharing"",""แผน!IL38"")"),2)</f>
        <v>2</v>
      </c>
      <c r="J723" s="269">
        <f ca="1">IFERROR(__xludf.DUMMYFUNCTION("IMPORTRANGE(""https://docs.google.com/spreadsheets/d/1XWAQStnk-4SwqDmLtmXYiTMKHgktTP8We1SCoS47DrQ/edit?usp=sharing"",""จัดที่ดิน!BM38"")"),0)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IFERROR(__xludf.DUMMYFUNCTION("IMPORTRANGE(""https://docs.google.com/spreadsheets/d/1XWAQStnk-4SwqDmLtmXYiTMKHgktTP8We1SCoS47DrQ/edit?usp=sharing"",""จัดที่ดิน!BN38"")"),0)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IFERROR(__xludf.DUMMYFUNCTION("IMPORTRANGE(""https://docs.google.com/spreadsheets/d/1QqKyyYR6Q21VydFLVH3TRQUabQu_ym0Zz7PgGX0-kHA/edit?usp=sharing"",""แผน!IM38"")"),10)</f>
        <v>10</v>
      </c>
      <c r="J725" s="269">
        <f ca="1">IFERROR(__xludf.DUMMYFUNCTION("IMPORTRANGE(""https://docs.google.com/spreadsheets/d/1XWAQStnk-4SwqDmLtmXYiTMKHgktTP8We1SCoS47DrQ/edit?usp=sharing"",""จัดที่ดิน!BO38"")"),0)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IFERROR(__xludf.DUMMYFUNCTION("IMPORTRANGE(""https://docs.google.com/spreadsheets/d/1QqKyyYR6Q21VydFLVH3TRQUabQu_ym0Zz7PgGX0-kHA/edit?usp=sharing"",""แผน!IN38"")"),0)</f>
        <v>0</v>
      </c>
      <c r="J726" s="269">
        <f ca="1">IFERROR(__xludf.DUMMYFUNCTION("IMPORTRANGE(""https://docs.google.com/spreadsheets/d/1XWAQStnk-4SwqDmLtmXYiTMKHgktTP8We1SCoS47DrQ/edit?usp=sharing"",""จัดที่ดิน!BR38"")"),0)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IFERROR(__xludf.DUMMYFUNCTION("IMPORTRANGE(""https://docs.google.com/spreadsheets/d/1XWAQStnk-4SwqDmLtmXYiTMKHgktTP8We1SCoS47DrQ/edit?usp=sharing"",""จัดที่ดิน!BS38"")"),0)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IFERROR(__xludf.DUMMYFUNCTION("IMPORTRANGE(""https://docs.google.com/spreadsheets/d/1QqKyyYR6Q21VydFLVH3TRQUabQu_ym0Zz7PgGX0-kHA/edit?usp=sharing"",""แผน!IO38"")"),0)</f>
        <v>0</v>
      </c>
      <c r="J728" s="269">
        <f ca="1">IFERROR(__xludf.DUMMYFUNCTION("IMPORTRANGE(""https://docs.google.com/spreadsheets/d/1XWAQStnk-4SwqDmLtmXYiTMKHgktTP8We1SCoS47DrQ/edit?usp=sharing"",""จัดที่ดิน!BT38"")"),0)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IFERROR(__xludf.DUMMYFUNCTION("IMPORTRANGE(""https://docs.google.com/spreadsheets/d/1QqKyyYR6Q21VydFLVH3TRQUabQu_ym0Zz7PgGX0-kHA/edit?usp=sharing"",""แผน!IP38"")"),657)</f>
        <v>657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IFERROR(__xludf.DUMMYFUNCTION("IMPORTRANGE(""https://docs.google.com/spreadsheets/d/1MaWodYyGHDf7siQLGxnXhG4mBNTNIuy296niS2xXulU/edit?usp=sharing"",""RTK!I38"")"),0)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269">
        <f ca="1">IFERROR(__xludf.DUMMYFUNCTION("IMPORTRANGE(""https://docs.google.com/spreadsheets/d/19vJNZY_5yjcGF2XGBMNZRCAIB0Kwfpjp8YEOfu-bneM/edit?usp=sharing"",""งานกองทุน!F38"")"),0)</f>
        <v>0</v>
      </c>
      <c r="K821" s="496">
        <f t="shared" ref="K821:K828" ca="1" si="334">IF(I821&gt;0,J821*100/I821,0)</f>
        <v>0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IFERROR(__xludf.DUMMYFUNCTION("IMPORTRANGE(""https://docs.google.com/spreadsheets/d/19vJNZY_5yjcGF2XGBMNZRCAIB0Kwfpjp8YEOfu-bneM/edit?usp=sharing"",""งานกองทุน!C38"")"),294)</f>
        <v>294</v>
      </c>
      <c r="J822" s="269">
        <f ca="1">IFERROR(__xludf.DUMMYFUNCTION("IMPORTRANGE(""https://docs.google.com/spreadsheets/d/19vJNZY_5yjcGF2XGBMNZRCAIB0Kwfpjp8YEOfu-bneM/edit?usp=sharing"",""งานกองทุน!E38"")"),0)</f>
        <v>0</v>
      </c>
      <c r="K822" s="496">
        <f t="shared" ca="1" si="334"/>
        <v>0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69">
        <f ca="1">IFERROR(__xludf.DUMMYFUNCTION("IMPORTRANGE(""https://docs.google.com/spreadsheets/d/19vJNZY_5yjcGF2XGBMNZRCAIB0Kwfpjp8YEOfu-bneM/edit?usp=sharing"",""งานกองทุน!K38"")"),169211.65)</f>
        <v>169211.65</v>
      </c>
      <c r="K823" s="496">
        <f t="shared" ca="1" si="334"/>
        <v>6.1470590841267709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IFERROR(__xludf.DUMMYFUNCTION("IMPORTRANGE(""https://docs.google.com/spreadsheets/d/19vJNZY_5yjcGF2XGBMNZRCAIB0Kwfpjp8YEOfu-bneM/edit?usp=sharing"",""งานกองทุน!H38"")"),134)</f>
        <v>134</v>
      </c>
      <c r="J824" s="269">
        <f ca="1">IFERROR(__xludf.DUMMYFUNCTION("IMPORTRANGE(""https://docs.google.com/spreadsheets/d/19vJNZY_5yjcGF2XGBMNZRCAIB0Kwfpjp8YEOfu-bneM/edit?usp=sharing"",""งานกองทุน!J38"")"),9)</f>
        <v>9</v>
      </c>
      <c r="K824" s="496">
        <f t="shared" ca="1" si="334"/>
        <v>6.7164179104477615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IFERROR(__xludf.DUMMYFUNCTION("IMPORTRANGE(""https://docs.google.com/spreadsheets/d/19vJNZY_5yjcGF2XGBMNZRCAIB0Kwfpjp8YEOfu-bneM/edit?usp=sharing"",""งานกองทุน!N38"")"),2455164.85)</f>
        <v>2455164.85</v>
      </c>
      <c r="J825" s="269">
        <f ca="1">IFERROR(__xludf.DUMMYFUNCTION("IMPORTRANGE(""https://docs.google.com/spreadsheets/d/19vJNZY_5yjcGF2XGBMNZRCAIB0Kwfpjp8YEOfu-bneM/edit?usp=sharing"",""งานกองทุน!P38"")"),77221.54)</f>
        <v>77221.539999999994</v>
      </c>
      <c r="K825" s="496">
        <f t="shared" ca="1" si="334"/>
        <v>3.1452690437466955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IFERROR(__xludf.DUMMYFUNCTION("IMPORTRANGE(""https://docs.google.com/spreadsheets/d/19vJNZY_5yjcGF2XGBMNZRCAIB0Kwfpjp8YEOfu-bneM/edit?usp=sharing"",""งานกองทุน!M38"")"),235)</f>
        <v>235</v>
      </c>
      <c r="J826" s="269">
        <f ca="1">IFERROR(__xludf.DUMMYFUNCTION("IMPORTRANGE(""https://docs.google.com/spreadsheets/d/19vJNZY_5yjcGF2XGBMNZRCAIB0Kwfpjp8YEOfu-bneM/edit?usp=sharing"",""งานกองทุน!O38"")"),3)</f>
        <v>3</v>
      </c>
      <c r="K826" s="496">
        <f t="shared" ca="1" si="334"/>
        <v>1.2765957446808511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IFERROR(__xludf.DUMMYFUNCTION("IMPORTRANGE(""https://docs.google.com/spreadsheets/d/19vJNZY_5yjcGF2XGBMNZRCAIB0Kwfpjp8YEOfu-bneM/edit?usp=sharing"",""งานกองทุน!S38"")"),3950000)</f>
        <v>3950000</v>
      </c>
      <c r="J827" s="269">
        <f ca="1">IFERROR(__xludf.DUMMYFUNCTION("IMPORTRANGE(""https://docs.google.com/spreadsheets/d/19vJNZY_5yjcGF2XGBMNZRCAIB0Kwfpjp8YEOfu-bneM/edit?usp=sharing"",""งานกองทุน!U38"")"),0)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IFERROR(__xludf.DUMMYFUNCTION("IMPORTRANGE(""https://docs.google.com/spreadsheets/d/19vJNZY_5yjcGF2XGBMNZRCAIB0Kwfpjp8YEOfu-bneM/edit?usp=sharing"",""งานกองทุน!R38"")"),158)</f>
        <v>158</v>
      </c>
      <c r="J828" s="499">
        <f ca="1">IFERROR(__xludf.DUMMYFUNCTION("IMPORTRANGE(""https://docs.google.com/spreadsheets/d/19vJNZY_5yjcGF2XGBMNZRCAIB0Kwfpjp8YEOfu-bneM/edit?usp=sharing"",""งานกองทุน!T38"")"),24)</f>
        <v>24</v>
      </c>
      <c r="K828" s="500">
        <f t="shared" ca="1" si="334"/>
        <v>15.189873417721518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84BB9-24BD-4961-805A-E1FD159CB895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activeCell="G418" sqref="G418"/>
      <selection pane="bottomLeft" activeCell="G418" sqref="G418"/>
    </sheetView>
  </sheetViews>
  <sheetFormatPr defaultColWidth="12.5703125" defaultRowHeight="15.75" customHeight="1"/>
  <cols>
    <col min="1" max="1" width="4.42578125" customWidth="1"/>
    <col min="2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19" t="s">
        <v>0</v>
      </c>
      <c r="B1" s="820"/>
      <c r="C1" s="820"/>
      <c r="D1" s="820"/>
      <c r="E1" s="820"/>
      <c r="F1" s="820"/>
      <c r="G1" s="820"/>
      <c r="H1" s="820"/>
      <c r="I1" s="820"/>
      <c r="J1" s="820"/>
      <c r="K1" s="820"/>
      <c r="L1" s="820"/>
      <c r="M1" s="820"/>
      <c r="N1" s="820"/>
      <c r="O1" s="820"/>
      <c r="P1" s="820"/>
    </row>
    <row r="2" spans="1:26" ht="19.5">
      <c r="A2" s="819" t="s">
        <v>342</v>
      </c>
      <c r="B2" s="820"/>
      <c r="C2" s="820"/>
      <c r="D2" s="820"/>
      <c r="E2" s="820"/>
      <c r="F2" s="820"/>
      <c r="G2" s="820"/>
      <c r="H2" s="820"/>
      <c r="I2" s="820"/>
      <c r="J2" s="820"/>
      <c r="K2" s="820"/>
      <c r="L2" s="820"/>
      <c r="M2" s="820"/>
      <c r="N2" s="820"/>
      <c r="O2" s="820"/>
      <c r="P2" s="820"/>
    </row>
    <row r="3" spans="1:26" ht="19.5">
      <c r="A3" s="819" t="s">
        <v>359</v>
      </c>
      <c r="B3" s="820"/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82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27" t="s">
        <v>2</v>
      </c>
      <c r="B5" s="820"/>
      <c r="C5" s="820"/>
      <c r="D5" s="820"/>
      <c r="E5" s="820"/>
      <c r="F5" s="820"/>
      <c r="G5" s="828"/>
      <c r="H5" s="821" t="s">
        <v>3</v>
      </c>
      <c r="I5" s="823" t="s">
        <v>4</v>
      </c>
      <c r="J5" s="824"/>
      <c r="K5" s="822"/>
      <c r="L5" s="825" t="s">
        <v>5</v>
      </c>
      <c r="M5" s="822"/>
      <c r="N5" s="826" t="s">
        <v>6</v>
      </c>
      <c r="O5" s="824"/>
      <c r="P5" s="822"/>
    </row>
    <row r="6" spans="1:26" ht="19.5">
      <c r="A6" s="829"/>
      <c r="B6" s="824"/>
      <c r="C6" s="824"/>
      <c r="D6" s="824"/>
      <c r="E6" s="824"/>
      <c r="F6" s="824"/>
      <c r="G6" s="822"/>
      <c r="H6" s="82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0" t="s">
        <v>15</v>
      </c>
      <c r="B7" s="824"/>
      <c r="C7" s="824"/>
      <c r="D7" s="824"/>
      <c r="E7" s="824"/>
      <c r="F7" s="824"/>
      <c r="G7" s="82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1">
        <f t="shared" ref="L8:N8" ca="1" si="0">L9+L10</f>
        <v>6711133</v>
      </c>
      <c r="M8" s="21">
        <f t="shared" ca="1" si="0"/>
        <v>2497796</v>
      </c>
      <c r="N8" s="21">
        <f t="shared" ca="1" si="0"/>
        <v>1158908.6200000001</v>
      </c>
      <c r="O8" s="21">
        <f t="shared" ref="O8:O16" ca="1" si="1">IF(L8&gt;0,N8*100/L8,0)</f>
        <v>17.268449604560068</v>
      </c>
      <c r="P8" s="21">
        <f t="shared" ref="P8:P16" ca="1" si="2">IF(M8&gt;0,N8*100/M8,0)</f>
        <v>46.397248614378441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6711133</v>
      </c>
      <c r="M10" s="30">
        <f t="shared" ca="1" si="3"/>
        <v>2497796</v>
      </c>
      <c r="N10" s="30">
        <f t="shared" ca="1" si="3"/>
        <v>1158908.6200000001</v>
      </c>
      <c r="O10" s="30">
        <f t="shared" ca="1" si="1"/>
        <v>17.268449604560068</v>
      </c>
      <c r="P10" s="30">
        <f t="shared" ca="1" si="2"/>
        <v>46.397248614378441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6" t="s">
        <v>12</v>
      </c>
      <c r="I11" s="269"/>
      <c r="J11" s="269"/>
      <c r="K11" s="496"/>
      <c r="L11" s="496">
        <f t="shared" ref="L11:N11" ca="1" si="4">L12+L13</f>
        <v>6130133</v>
      </c>
      <c r="M11" s="496">
        <f t="shared" ca="1" si="4"/>
        <v>1916796</v>
      </c>
      <c r="N11" s="496">
        <f t="shared" ca="1" si="4"/>
        <v>577908.62</v>
      </c>
      <c r="O11" s="496">
        <f t="shared" ca="1" si="1"/>
        <v>9.4273422778918494</v>
      </c>
      <c r="P11" s="496">
        <f t="shared" ca="1" si="2"/>
        <v>30.149719636309758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2" t="s">
        <v>18</v>
      </c>
      <c r="F12" s="40"/>
      <c r="G12" s="42"/>
      <c r="H12" s="43" t="s">
        <v>12</v>
      </c>
      <c r="I12" s="610"/>
      <c r="J12" s="610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2" t="s">
        <v>19</v>
      </c>
      <c r="F13" s="40"/>
      <c r="G13" s="42"/>
      <c r="H13" s="43" t="s">
        <v>12</v>
      </c>
      <c r="I13" s="610"/>
      <c r="J13" s="610"/>
      <c r="K13" s="93"/>
      <c r="L13" s="93">
        <f t="shared" ca="1" si="5"/>
        <v>6130133</v>
      </c>
      <c r="M13" s="93">
        <f t="shared" ca="1" si="5"/>
        <v>1916796</v>
      </c>
      <c r="N13" s="93">
        <f t="shared" ca="1" si="5"/>
        <v>577908.62</v>
      </c>
      <c r="O13" s="93">
        <f t="shared" ca="1" si="1"/>
        <v>9.4273422778918494</v>
      </c>
      <c r="P13" s="93">
        <f t="shared" ca="1" si="2"/>
        <v>30.149719636309758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6" t="s">
        <v>12</v>
      </c>
      <c r="I14" s="269"/>
      <c r="J14" s="269"/>
      <c r="K14" s="496"/>
      <c r="L14" s="496">
        <f t="shared" ref="L14:N14" ca="1" si="6">L15+L16</f>
        <v>581000</v>
      </c>
      <c r="M14" s="496">
        <f t="shared" ca="1" si="6"/>
        <v>581000</v>
      </c>
      <c r="N14" s="496">
        <f t="shared" ca="1" si="6"/>
        <v>581000</v>
      </c>
      <c r="O14" s="496">
        <f t="shared" ca="1" si="1"/>
        <v>100</v>
      </c>
      <c r="P14" s="496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2" t="s">
        <v>18</v>
      </c>
      <c r="F15" s="40"/>
      <c r="G15" s="42"/>
      <c r="H15" s="43" t="s">
        <v>12</v>
      </c>
      <c r="I15" s="610"/>
      <c r="J15" s="610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30" t="s">
        <v>22</v>
      </c>
      <c r="B17" s="824"/>
      <c r="C17" s="824"/>
      <c r="D17" s="824"/>
      <c r="E17" s="824"/>
      <c r="F17" s="824"/>
      <c r="G17" s="82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1">
        <f t="shared" ref="L18:N18" ca="1" si="8">L19+L20</f>
        <v>4351011</v>
      </c>
      <c r="M18" s="21">
        <f t="shared" ca="1" si="8"/>
        <v>2497796</v>
      </c>
      <c r="N18" s="21">
        <f t="shared" ca="1" si="8"/>
        <v>1158908.6200000001</v>
      </c>
      <c r="O18" s="21">
        <f t="shared" ref="O18:O26" ca="1" si="9">IF(L18&gt;0,N18*100/L18,0)</f>
        <v>26.635387039931643</v>
      </c>
      <c r="P18" s="21">
        <f t="shared" ref="P18:P26" ca="1" si="10">IF(M18&gt;0,N18*100/M18,0)</f>
        <v>46.397248614378441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2497796</v>
      </c>
      <c r="N20" s="30">
        <f t="shared" ca="1" si="11"/>
        <v>1158908.6200000001</v>
      </c>
      <c r="O20" s="30">
        <f t="shared" ca="1" si="9"/>
        <v>26.635387039931643</v>
      </c>
      <c r="P20" s="30">
        <f t="shared" ca="1" si="10"/>
        <v>46.397248614378441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6" t="s">
        <v>12</v>
      </c>
      <c r="I21" s="269"/>
      <c r="J21" s="269"/>
      <c r="K21" s="496"/>
      <c r="L21" s="496">
        <f t="shared" ref="L21:N21" ca="1" si="12">L22+L23</f>
        <v>3770011</v>
      </c>
      <c r="M21" s="496">
        <f t="shared" ca="1" si="12"/>
        <v>1916796</v>
      </c>
      <c r="N21" s="496">
        <f t="shared" ca="1" si="12"/>
        <v>577908.62</v>
      </c>
      <c r="O21" s="496">
        <f t="shared" ca="1" si="9"/>
        <v>15.329096387251921</v>
      </c>
      <c r="P21" s="496">
        <f t="shared" ca="1" si="10"/>
        <v>30.149719636309758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2" t="s">
        <v>18</v>
      </c>
      <c r="F22" s="40"/>
      <c r="G22" s="42"/>
      <c r="H22" s="43" t="s">
        <v>12</v>
      </c>
      <c r="I22" s="610"/>
      <c r="J22" s="610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2" t="s">
        <v>19</v>
      </c>
      <c r="F23" s="40"/>
      <c r="G23" s="42"/>
      <c r="H23" s="43" t="s">
        <v>12</v>
      </c>
      <c r="I23" s="610"/>
      <c r="J23" s="610"/>
      <c r="K23" s="93"/>
      <c r="L23" s="93">
        <f t="shared" ca="1" si="13"/>
        <v>3770011</v>
      </c>
      <c r="M23" s="93">
        <f t="shared" ca="1" si="13"/>
        <v>1916796</v>
      </c>
      <c r="N23" s="93">
        <f t="shared" ca="1" si="13"/>
        <v>577908.62</v>
      </c>
      <c r="O23" s="93">
        <f t="shared" ca="1" si="9"/>
        <v>15.329096387251921</v>
      </c>
      <c r="P23" s="93">
        <f t="shared" ca="1" si="10"/>
        <v>30.149719636309758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6" t="s">
        <v>12</v>
      </c>
      <c r="I24" s="269"/>
      <c r="J24" s="269"/>
      <c r="K24" s="496"/>
      <c r="L24" s="496">
        <f t="shared" ref="L24:N24" ca="1" si="14">L25+L26</f>
        <v>581000</v>
      </c>
      <c r="M24" s="496">
        <f t="shared" ca="1" si="14"/>
        <v>581000</v>
      </c>
      <c r="N24" s="496">
        <f t="shared" ca="1" si="14"/>
        <v>581000</v>
      </c>
      <c r="O24" s="496">
        <f t="shared" ca="1" si="9"/>
        <v>100</v>
      </c>
      <c r="P24" s="496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2" t="s">
        <v>18</v>
      </c>
      <c r="F25" s="40"/>
      <c r="G25" s="42"/>
      <c r="H25" s="43" t="s">
        <v>12</v>
      </c>
      <c r="I25" s="610"/>
      <c r="J25" s="610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30" t="s">
        <v>23</v>
      </c>
      <c r="B27" s="824"/>
      <c r="C27" s="824"/>
      <c r="D27" s="824"/>
      <c r="E27" s="824"/>
      <c r="F27" s="824"/>
      <c r="G27" s="82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1">
        <f t="shared" ref="L28:N28" ca="1" si="16">L29+L30</f>
        <v>2360122</v>
      </c>
      <c r="M28" s="21">
        <f t="shared" si="16"/>
        <v>0</v>
      </c>
      <c r="N28" s="21">
        <f t="shared" si="16"/>
        <v>0</v>
      </c>
      <c r="O28" s="21">
        <f t="shared" ref="O28:O37" ca="1" si="17">IF(L28&gt;0,N28*100/L28,0)</f>
        <v>0</v>
      </c>
      <c r="P28" s="21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2360122</v>
      </c>
      <c r="M30" s="30">
        <f t="shared" si="19"/>
        <v>0</v>
      </c>
      <c r="N30" s="30">
        <f t="shared" si="19"/>
        <v>0</v>
      </c>
      <c r="O30" s="30">
        <f t="shared" ca="1" si="17"/>
        <v>0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6" t="s">
        <v>12</v>
      </c>
      <c r="I31" s="269"/>
      <c r="J31" s="269"/>
      <c r="K31" s="496"/>
      <c r="L31" s="496">
        <f t="shared" ref="L31:N31" ca="1" si="20">L32+L33</f>
        <v>2360122</v>
      </c>
      <c r="M31" s="496">
        <f t="shared" si="20"/>
        <v>0</v>
      </c>
      <c r="N31" s="496">
        <f t="shared" si="20"/>
        <v>0</v>
      </c>
      <c r="O31" s="496">
        <f t="shared" ca="1" si="17"/>
        <v>0</v>
      </c>
      <c r="P31" s="496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2" t="s">
        <v>18</v>
      </c>
      <c r="F32" s="40"/>
      <c r="G32" s="42"/>
      <c r="H32" s="43" t="s">
        <v>12</v>
      </c>
      <c r="I32" s="610"/>
      <c r="J32" s="610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2" t="s">
        <v>19</v>
      </c>
      <c r="F33" s="40"/>
      <c r="G33" s="42"/>
      <c r="H33" s="43" t="s">
        <v>12</v>
      </c>
      <c r="I33" s="610"/>
      <c r="J33" s="610"/>
      <c r="K33" s="93"/>
      <c r="L33" s="93">
        <f t="shared" ca="1" si="21"/>
        <v>2360122</v>
      </c>
      <c r="M33" s="93">
        <f t="shared" si="21"/>
        <v>0</v>
      </c>
      <c r="N33" s="93">
        <f t="shared" si="21"/>
        <v>0</v>
      </c>
      <c r="O33" s="93">
        <f t="shared" ca="1" si="17"/>
        <v>0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6" t="s">
        <v>12</v>
      </c>
      <c r="I34" s="269"/>
      <c r="J34" s="269"/>
      <c r="K34" s="496"/>
      <c r="L34" s="496">
        <f t="shared" ref="L34:N34" ca="1" si="22">L35+L36</f>
        <v>0</v>
      </c>
      <c r="M34" s="496">
        <f t="shared" si="22"/>
        <v>0</v>
      </c>
      <c r="N34" s="496">
        <f t="shared" si="22"/>
        <v>0</v>
      </c>
      <c r="O34" s="496">
        <f t="shared" ca="1" si="17"/>
        <v>0</v>
      </c>
      <c r="P34" s="496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2" t="s">
        <v>18</v>
      </c>
      <c r="F35" s="40"/>
      <c r="G35" s="42"/>
      <c r="H35" s="43" t="s">
        <v>12</v>
      </c>
      <c r="I35" s="610"/>
      <c r="J35" s="610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423"/>
      <c r="J37" s="423"/>
      <c r="K37" s="58"/>
      <c r="L37" s="59">
        <f t="shared" ref="L37:N37" ca="1" si="24">L41+L53+L66+L88+L119+L132+L149+L165+L181+L261+L277+L298+L315+L328+L345+L389+L402</f>
        <v>4351011</v>
      </c>
      <c r="M37" s="59">
        <f t="shared" ca="1" si="24"/>
        <v>2497796</v>
      </c>
      <c r="N37" s="59">
        <f t="shared" ca="1" si="24"/>
        <v>1158908.6199999999</v>
      </c>
      <c r="O37" s="59">
        <f t="shared" ca="1" si="17"/>
        <v>26.635387039931636</v>
      </c>
      <c r="P37" s="59">
        <f t="shared" ca="1" si="18"/>
        <v>46.397248614378427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31" t="s">
        <v>27</v>
      </c>
      <c r="C40" s="832"/>
      <c r="D40" s="832"/>
      <c r="E40" s="832"/>
      <c r="F40" s="832"/>
      <c r="G40" s="83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2" t="s">
        <v>17</v>
      </c>
      <c r="E41" s="78"/>
      <c r="F41" s="78"/>
      <c r="G41" s="81"/>
      <c r="H41" s="82" t="s">
        <v>12</v>
      </c>
      <c r="I41" s="83"/>
      <c r="J41" s="83"/>
      <c r="K41" s="84"/>
      <c r="L41" s="84">
        <f t="shared" ref="L41:N41" ca="1" si="25">L42+L43</f>
        <v>514296</v>
      </c>
      <c r="M41" s="84">
        <f t="shared" ca="1" si="25"/>
        <v>259096</v>
      </c>
      <c r="N41" s="84">
        <f t="shared" ca="1" si="25"/>
        <v>142494</v>
      </c>
      <c r="O41" s="84">
        <f t="shared" ref="O41:O49" ca="1" si="26">IF(L41&gt;0,N41*100/L41,0)</f>
        <v>27.706612534415978</v>
      </c>
      <c r="P41" s="84">
        <f t="shared" ref="P41:P49" ca="1" si="27">IF(M41&gt;0,N41*100/M41,0)</f>
        <v>54.996603575508693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259096</v>
      </c>
      <c r="N43" s="92">
        <f t="shared" ca="1" si="28"/>
        <v>142494</v>
      </c>
      <c r="O43" s="92">
        <f t="shared" ca="1" si="26"/>
        <v>27.706612534415978</v>
      </c>
      <c r="P43" s="92">
        <f t="shared" ca="1" si="27"/>
        <v>54.996603575508693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6" t="s">
        <v>12</v>
      </c>
      <c r="I44" s="269"/>
      <c r="J44" s="269"/>
      <c r="K44" s="496"/>
      <c r="L44" s="496">
        <f t="shared" ref="L44:N44" ca="1" si="29">L45+L46</f>
        <v>514296</v>
      </c>
      <c r="M44" s="496">
        <f t="shared" ca="1" si="29"/>
        <v>259096</v>
      </c>
      <c r="N44" s="496">
        <f t="shared" ca="1" si="29"/>
        <v>142494</v>
      </c>
      <c r="O44" s="496">
        <f t="shared" ca="1" si="26"/>
        <v>27.706612534415978</v>
      </c>
      <c r="P44" s="496">
        <f t="shared" ca="1" si="27"/>
        <v>54.996603575508693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2" t="s">
        <v>18</v>
      </c>
      <c r="F45" s="40"/>
      <c r="G45" s="42"/>
      <c r="H45" s="43" t="s">
        <v>12</v>
      </c>
      <c r="I45" s="610"/>
      <c r="J45" s="610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2" t="s">
        <v>19</v>
      </c>
      <c r="F46" s="40"/>
      <c r="G46" s="42"/>
      <c r="H46" s="43" t="s">
        <v>12</v>
      </c>
      <c r="I46" s="610"/>
      <c r="J46" s="610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IFERROR(__xludf.DUMMYFUNCTION("IMPORTRANGE(""https://docs.google.com/spreadsheets/d/1MeEWN-I1oV_STSDYn1IFDPWt_1FKiwhDph83XaGc0o0/edit?usp=sharing"",""งบพรบ!R39"")"),259096)</f>
        <v>259096</v>
      </c>
      <c r="N46" s="93">
        <f ca="1">IFERROR(__xludf.DUMMYFUNCTION("IMPORTRANGE(""https://docs.google.com/spreadsheets/d/1MeEWN-I1oV_STSDYn1IFDPWt_1FKiwhDph83XaGc0o0/edit?usp=sharing"",""งบพรบ!T39"")"),142494)</f>
        <v>142494</v>
      </c>
      <c r="O46" s="93">
        <f t="shared" ca="1" si="26"/>
        <v>27.706612534415978</v>
      </c>
      <c r="P46" s="93">
        <f t="shared" ca="1" si="27"/>
        <v>54.996603575508693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6" t="s">
        <v>12</v>
      </c>
      <c r="I47" s="269"/>
      <c r="J47" s="269"/>
      <c r="K47" s="496"/>
      <c r="L47" s="496">
        <f t="shared" ref="L47:N47" ca="1" si="30">L48+L49</f>
        <v>0</v>
      </c>
      <c r="M47" s="496">
        <f t="shared" ca="1" si="30"/>
        <v>0</v>
      </c>
      <c r="N47" s="496">
        <f t="shared" ca="1" si="30"/>
        <v>0</v>
      </c>
      <c r="O47" s="496">
        <f t="shared" ca="1" si="26"/>
        <v>0</v>
      </c>
      <c r="P47" s="496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2" t="s">
        <v>18</v>
      </c>
      <c r="F48" s="40"/>
      <c r="G48" s="42"/>
      <c r="H48" s="43" t="s">
        <v>12</v>
      </c>
      <c r="I48" s="610"/>
      <c r="J48" s="610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34" t="s">
        <v>28</v>
      </c>
      <c r="B50" s="824"/>
      <c r="C50" s="824"/>
      <c r="D50" s="824"/>
      <c r="E50" s="824"/>
      <c r="F50" s="824"/>
      <c r="G50" s="82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35" t="s">
        <v>29</v>
      </c>
      <c r="C51" s="832"/>
      <c r="D51" s="832"/>
      <c r="E51" s="832"/>
      <c r="F51" s="832"/>
      <c r="G51" s="83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3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5">
        <f t="shared" ref="L53:N53" ca="1" si="31">L54+L55</f>
        <v>679200</v>
      </c>
      <c r="M53" s="115">
        <f t="shared" ca="1" si="31"/>
        <v>339600</v>
      </c>
      <c r="N53" s="115">
        <f t="shared" ca="1" si="31"/>
        <v>133581.09</v>
      </c>
      <c r="O53" s="115">
        <f t="shared" ref="O53:O61" ca="1" si="32">IF(L53&gt;0,N53*100/L53,0)</f>
        <v>19.667416077738515</v>
      </c>
      <c r="P53" s="115">
        <f t="shared" ref="P53:P61" ca="1" si="33">IF(M53&gt;0,N53*100/M53,0)</f>
        <v>39.334832155477031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339600</v>
      </c>
      <c r="N55" s="123">
        <f t="shared" ca="1" si="34"/>
        <v>133581.09</v>
      </c>
      <c r="O55" s="123">
        <f t="shared" ca="1" si="32"/>
        <v>19.667416077738515</v>
      </c>
      <c r="P55" s="123">
        <f t="shared" ca="1" si="33"/>
        <v>39.334832155477031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6" t="s">
        <v>12</v>
      </c>
      <c r="I56" s="269"/>
      <c r="J56" s="269"/>
      <c r="K56" s="496"/>
      <c r="L56" s="496">
        <f t="shared" ref="L56:N56" ca="1" si="35">L57+L58</f>
        <v>679200</v>
      </c>
      <c r="M56" s="496">
        <f t="shared" ca="1" si="35"/>
        <v>339600</v>
      </c>
      <c r="N56" s="496">
        <f t="shared" ca="1" si="35"/>
        <v>133581.09</v>
      </c>
      <c r="O56" s="496">
        <f t="shared" ca="1" si="32"/>
        <v>19.667416077738515</v>
      </c>
      <c r="P56" s="496">
        <f t="shared" ca="1" si="33"/>
        <v>39.334832155477031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2" t="s">
        <v>18</v>
      </c>
      <c r="F57" s="40"/>
      <c r="G57" s="42"/>
      <c r="H57" s="43" t="s">
        <v>12</v>
      </c>
      <c r="I57" s="610"/>
      <c r="J57" s="610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2" t="s">
        <v>19</v>
      </c>
      <c r="F58" s="40"/>
      <c r="G58" s="42"/>
      <c r="H58" s="43" t="s">
        <v>12</v>
      </c>
      <c r="I58" s="610"/>
      <c r="J58" s="610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IFERROR(__xludf.DUMMYFUNCTION("IMPORTRANGE(""https://docs.google.com/spreadsheets/d/1MeEWN-I1oV_STSDYn1IFDPWt_1FKiwhDph83XaGc0o0/edit?usp=sharing"",""งบพรบ!AB39"")"),339600)</f>
        <v>339600</v>
      </c>
      <c r="N58" s="93">
        <f ca="1">IFERROR(__xludf.DUMMYFUNCTION("IMPORTRANGE(""https://docs.google.com/spreadsheets/d/1MeEWN-I1oV_STSDYn1IFDPWt_1FKiwhDph83XaGc0o0/edit?usp=sharing"",""งบพรบ!AD39"")"),133581.09)</f>
        <v>133581.09</v>
      </c>
      <c r="O58" s="93">
        <f t="shared" ca="1" si="32"/>
        <v>19.667416077738515</v>
      </c>
      <c r="P58" s="93">
        <f t="shared" ca="1" si="33"/>
        <v>39.334832155477031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6" t="s">
        <v>12</v>
      </c>
      <c r="I59" s="269"/>
      <c r="J59" s="269"/>
      <c r="K59" s="496"/>
      <c r="L59" s="496">
        <f t="shared" ref="L59:N59" ca="1" si="36">L60+L61</f>
        <v>0</v>
      </c>
      <c r="M59" s="496">
        <f t="shared" ca="1" si="36"/>
        <v>0</v>
      </c>
      <c r="N59" s="496">
        <f t="shared" ca="1" si="36"/>
        <v>0</v>
      </c>
      <c r="O59" s="496">
        <f t="shared" ca="1" si="32"/>
        <v>0</v>
      </c>
      <c r="P59" s="496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2" t="s">
        <v>18</v>
      </c>
      <c r="F60" s="40"/>
      <c r="G60" s="42"/>
      <c r="H60" s="43" t="s">
        <v>12</v>
      </c>
      <c r="I60" s="610"/>
      <c r="J60" s="610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8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5" ca="1" si="37">I76</f>
        <v>3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ca="1" si="37"/>
        <v>109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4" t="s">
        <v>17</v>
      </c>
      <c r="E66" s="148"/>
      <c r="F66" s="148"/>
      <c r="G66" s="151"/>
      <c r="H66" s="152" t="s">
        <v>12</v>
      </c>
      <c r="I66" s="419"/>
      <c r="J66" s="419"/>
      <c r="K66" s="154"/>
      <c r="L66" s="155">
        <f t="shared" ref="L66:N66" ca="1" si="39">L67+L68</f>
        <v>1621800</v>
      </c>
      <c r="M66" s="155">
        <f t="shared" ca="1" si="39"/>
        <v>790700</v>
      </c>
      <c r="N66" s="155">
        <f t="shared" ca="1" si="39"/>
        <v>185563.23</v>
      </c>
      <c r="O66" s="155">
        <f t="shared" ref="O66:O74" ca="1" si="40">IF(L66&gt;0,N66*100/L66,0)</f>
        <v>11.441807251202368</v>
      </c>
      <c r="P66" s="155">
        <f t="shared" ref="P66:P74" ca="1" si="41">IF(M66&gt;0,N66*100/M66,0)</f>
        <v>23.468221828759326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2" t="s">
        <v>18</v>
      </c>
      <c r="F67" s="40"/>
      <c r="G67" s="157"/>
      <c r="H67" s="158" t="s">
        <v>12</v>
      </c>
      <c r="I67" s="610"/>
      <c r="J67" s="610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2" t="s">
        <v>19</v>
      </c>
      <c r="F68" s="40"/>
      <c r="G68" s="157"/>
      <c r="H68" s="158" t="s">
        <v>12</v>
      </c>
      <c r="I68" s="610"/>
      <c r="J68" s="610"/>
      <c r="K68" s="93"/>
      <c r="L68" s="93">
        <f t="shared" ca="1" si="42"/>
        <v>1621800</v>
      </c>
      <c r="M68" s="93">
        <f t="shared" ca="1" si="42"/>
        <v>790700</v>
      </c>
      <c r="N68" s="93">
        <f t="shared" ca="1" si="42"/>
        <v>185563.23</v>
      </c>
      <c r="O68" s="93">
        <f t="shared" ca="1" si="40"/>
        <v>11.441807251202368</v>
      </c>
      <c r="P68" s="93">
        <f t="shared" ca="1" si="41"/>
        <v>23.468221828759326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1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6">
        <f t="shared" ref="L69:N69" ca="1" si="43">L70+L71</f>
        <v>1621800</v>
      </c>
      <c r="M69" s="496">
        <f t="shared" ca="1" si="43"/>
        <v>790700</v>
      </c>
      <c r="N69" s="496">
        <f t="shared" ca="1" si="43"/>
        <v>185563.23</v>
      </c>
      <c r="O69" s="496">
        <f t="shared" ca="1" si="40"/>
        <v>11.441807251202368</v>
      </c>
      <c r="P69" s="496">
        <f t="shared" ca="1" si="41"/>
        <v>23.468221828759326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2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2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IFERROR(__xludf.DUMMYFUNCTION("IMPORTRANGE(""https://docs.google.com/spreadsheets/d/1MeEWN-I1oV_STSDYn1IFDPWt_1FKiwhDph83XaGc0o0/edit?usp=sharing"",""งบพรบ!AL39"")"),790700)</f>
        <v>790700</v>
      </c>
      <c r="N71" s="93">
        <f ca="1">IFERROR(__xludf.DUMMYFUNCTION("IMPORTRANGE(""https://docs.google.com/spreadsheets/d/1MeEWN-I1oV_STSDYn1IFDPWt_1FKiwhDph83XaGc0o0/edit?usp=sharing"",""งบพรบ!AN39"")"),185563.23)</f>
        <v>185563.23</v>
      </c>
      <c r="O71" s="93">
        <f t="shared" ca="1" si="40"/>
        <v>11.441807251202368</v>
      </c>
      <c r="P71" s="93">
        <f t="shared" ca="1" si="41"/>
        <v>23.468221828759326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1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6">
        <f t="shared" ref="L72:N72" ca="1" si="44">L73+L74</f>
        <v>0</v>
      </c>
      <c r="M72" s="496">
        <f t="shared" ca="1" si="44"/>
        <v>0</v>
      </c>
      <c r="N72" s="496">
        <f t="shared" ca="1" si="44"/>
        <v>0</v>
      </c>
      <c r="O72" s="496">
        <f t="shared" ca="1" si="40"/>
        <v>0</v>
      </c>
      <c r="P72" s="496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2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2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5" t="s">
        <v>38</v>
      </c>
      <c r="E75" s="173"/>
      <c r="F75" s="173"/>
      <c r="G75" s="174"/>
      <c r="H75" s="753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6"/>
      <c r="F76" s="178"/>
      <c r="G76" s="179"/>
      <c r="H76" s="180" t="s">
        <v>34</v>
      </c>
      <c r="I76" s="269">
        <f t="shared" ref="I76:J77" ca="1" si="45">I78+I80+I82</f>
        <v>3</v>
      </c>
      <c r="J76" s="269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69">
        <f t="shared" ca="1" si="45"/>
        <v>109</v>
      </c>
      <c r="J77" s="269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6" t="s">
        <v>40</v>
      </c>
      <c r="F78" s="446"/>
      <c r="G78" s="179"/>
      <c r="H78" s="755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5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6" t="s">
        <v>41</v>
      </c>
      <c r="F80" s="446"/>
      <c r="G80" s="179"/>
      <c r="H80" s="755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5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6" t="s">
        <v>42</v>
      </c>
      <c r="F82" s="446"/>
      <c r="G82" s="179"/>
      <c r="H82" s="755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4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5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4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6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4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8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4" t="s">
        <v>17</v>
      </c>
      <c r="E88" s="148"/>
      <c r="F88" s="148"/>
      <c r="G88" s="151"/>
      <c r="H88" s="152" t="s">
        <v>12</v>
      </c>
      <c r="I88" s="419"/>
      <c r="J88" s="419"/>
      <c r="K88" s="154"/>
      <c r="L88" s="155">
        <f t="shared" ref="L88:N88" ca="1" si="49">L89+L90</f>
        <v>110880</v>
      </c>
      <c r="M88" s="155">
        <f t="shared" ca="1" si="49"/>
        <v>71430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2" t="s">
        <v>18</v>
      </c>
      <c r="F89" s="40"/>
      <c r="G89" s="157"/>
      <c r="H89" s="158" t="s">
        <v>12</v>
      </c>
      <c r="I89" s="610"/>
      <c r="J89" s="610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2" t="s">
        <v>19</v>
      </c>
      <c r="F90" s="40"/>
      <c r="G90" s="157"/>
      <c r="H90" s="158" t="s">
        <v>12</v>
      </c>
      <c r="I90" s="610"/>
      <c r="J90" s="610"/>
      <c r="K90" s="93"/>
      <c r="L90" s="93">
        <f t="shared" ca="1" si="52"/>
        <v>110880</v>
      </c>
      <c r="M90" s="93">
        <f t="shared" ca="1" si="52"/>
        <v>71430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1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6">
        <f t="shared" ref="L91:N91" ca="1" si="53">L92+L93</f>
        <v>110880</v>
      </c>
      <c r="M91" s="496">
        <f t="shared" ca="1" si="53"/>
        <v>71430</v>
      </c>
      <c r="N91" s="496">
        <f t="shared" ca="1" si="53"/>
        <v>0</v>
      </c>
      <c r="O91" s="496">
        <f t="shared" ca="1" si="50"/>
        <v>0</v>
      </c>
      <c r="P91" s="496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2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2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IFERROR(__xludf.DUMMYFUNCTION("IMPORTRANGE(""https://docs.google.com/spreadsheets/d/1MeEWN-I1oV_STSDYn1IFDPWt_1FKiwhDph83XaGc0o0/edit?usp=sharing"",""งบพรบ!AV39"")"),71430)</f>
        <v>71430</v>
      </c>
      <c r="N93" s="93">
        <f ca="1">IFERROR(__xludf.DUMMYFUNCTION("IMPORTRANGE(""https://docs.google.com/spreadsheets/d/1MeEWN-I1oV_STSDYn1IFDPWt_1FKiwhDph83XaGc0o0/edit?usp=sharing"",""งบพรบ!AX39"")"),0)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1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6">
        <f t="shared" ref="L94:N94" ca="1" si="54">L95+L96</f>
        <v>0</v>
      </c>
      <c r="M94" s="496">
        <f t="shared" ca="1" si="54"/>
        <v>0</v>
      </c>
      <c r="N94" s="496">
        <f t="shared" ca="1" si="54"/>
        <v>0</v>
      </c>
      <c r="O94" s="496">
        <f t="shared" ca="1" si="50"/>
        <v>0</v>
      </c>
      <c r="P94" s="496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2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2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5" t="s">
        <v>38</v>
      </c>
      <c r="E97" s="173"/>
      <c r="F97" s="173"/>
      <c r="G97" s="174"/>
      <c r="H97" s="753"/>
      <c r="I97" s="184"/>
      <c r="J97" s="269"/>
      <c r="K97" s="496"/>
      <c r="L97" s="496"/>
      <c r="M97" s="496"/>
      <c r="N97" s="496"/>
      <c r="O97" s="163"/>
      <c r="P97" s="163"/>
    </row>
    <row r="98" spans="1:16" ht="18.75">
      <c r="A98" s="170"/>
      <c r="B98" s="171"/>
      <c r="C98" s="171"/>
      <c r="D98" s="446" t="s">
        <v>47</v>
      </c>
      <c r="E98" s="446"/>
      <c r="F98" s="178"/>
      <c r="G98" s="179"/>
      <c r="H98" s="616" t="s">
        <v>46</v>
      </c>
      <c r="I98" s="269">
        <f ca="1">IFERROR(__xludf.DUMMYFUNCTION("IMPORTRANGE(""https://docs.google.com/spreadsheets/d/1QqKyyYR6Q21VydFLVH3TRQUabQu_ym0Zz7PgGX0-kHA/edit?usp=sharing"",""แผน!K39"")"),60)</f>
        <v>60</v>
      </c>
      <c r="J98" s="269">
        <f>J102</f>
        <v>0</v>
      </c>
      <c r="K98" s="496">
        <f t="shared" ref="K98:K100" ca="1" si="55">IF(I98&gt;0,J98*100/I98,0)</f>
        <v>0</v>
      </c>
      <c r="L98" s="496"/>
      <c r="M98" s="496"/>
      <c r="N98" s="496"/>
      <c r="O98" s="163"/>
      <c r="P98" s="163"/>
    </row>
    <row r="99" spans="1:16" ht="18.75">
      <c r="A99" s="170"/>
      <c r="B99" s="171"/>
      <c r="C99" s="171"/>
      <c r="D99" s="446" t="s">
        <v>48</v>
      </c>
      <c r="E99" s="446"/>
      <c r="F99" s="178"/>
      <c r="G99" s="179"/>
      <c r="H99" s="616" t="s">
        <v>35</v>
      </c>
      <c r="I99" s="269">
        <f ca="1">IFERROR(__xludf.DUMMYFUNCTION("IMPORTRANGE(""https://docs.google.com/spreadsheets/d/1QqKyyYR6Q21VydFLVH3TRQUabQu_ym0Zz7PgGX0-kHA/edit?usp=sharing"",""แผน!L39"")"),20)</f>
        <v>20</v>
      </c>
      <c r="J99" s="269">
        <f>J104</f>
        <v>0</v>
      </c>
      <c r="K99" s="496">
        <f t="shared" ca="1" si="55"/>
        <v>0</v>
      </c>
      <c r="L99" s="496"/>
      <c r="M99" s="496"/>
      <c r="N99" s="496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6" t="s">
        <v>49</v>
      </c>
      <c r="I100" s="269">
        <f ca="1">IFERROR(__xludf.DUMMYFUNCTION("IMPORTRANGE(""https://docs.google.com/spreadsheets/d/1QqKyyYR6Q21VydFLVH3TRQUabQu_ym0Zz7PgGX0-kHA/edit?usp=sharing"",""แผน!M39"")"),2)</f>
        <v>2</v>
      </c>
      <c r="J100" s="269">
        <f>J107+J110</f>
        <v>0</v>
      </c>
      <c r="K100" s="496">
        <f t="shared" ca="1" si="55"/>
        <v>0</v>
      </c>
      <c r="L100" s="496"/>
      <c r="M100" s="496"/>
      <c r="N100" s="496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6"/>
      <c r="I101" s="269"/>
      <c r="J101" s="269"/>
      <c r="K101" s="496"/>
      <c r="L101" s="496"/>
      <c r="M101" s="496"/>
      <c r="N101" s="496"/>
      <c r="O101" s="163"/>
      <c r="P101" s="163"/>
    </row>
    <row r="102" spans="1:16" ht="18.75">
      <c r="A102" s="170"/>
      <c r="B102" s="171"/>
      <c r="C102" s="171"/>
      <c r="D102" s="178"/>
      <c r="E102" s="619" t="s">
        <v>47</v>
      </c>
      <c r="F102" s="178"/>
      <c r="G102" s="179"/>
      <c r="H102" s="616" t="s">
        <v>46</v>
      </c>
      <c r="I102" s="269">
        <f ca="1">IFERROR(__xludf.DUMMYFUNCTION("IMPORTRANGE(""https://docs.google.com/spreadsheets/d/1QqKyyYR6Q21VydFLVH3TRQUabQu_ym0Zz7PgGX0-kHA/edit?usp=sharing"",""แผน!N39"")"),60)</f>
        <v>60</v>
      </c>
      <c r="J102" s="214">
        <v>0</v>
      </c>
      <c r="K102" s="496">
        <f t="shared" ref="K102:K104" ca="1" si="56">IF(I102&gt;0,J102*100/I102,0)</f>
        <v>0</v>
      </c>
      <c r="L102" s="496"/>
      <c r="M102" s="496"/>
      <c r="N102" s="496"/>
      <c r="O102" s="163"/>
      <c r="P102" s="163"/>
    </row>
    <row r="103" spans="1:16" ht="19.5">
      <c r="A103" s="170"/>
      <c r="B103" s="171"/>
      <c r="C103" s="171"/>
      <c r="D103" s="178"/>
      <c r="E103" s="446" t="s">
        <v>51</v>
      </c>
      <c r="F103" s="178"/>
      <c r="G103" s="179"/>
      <c r="H103" s="616" t="s">
        <v>35</v>
      </c>
      <c r="I103" s="269">
        <f ca="1">IFERROR(__xludf.DUMMYFUNCTION("IMPORTRANGE(""https://docs.google.com/spreadsheets/d/1QqKyyYR6Q21VydFLVH3TRQUabQu_ym0Zz7PgGX0-kHA/edit?usp=sharing"",""แผน!O39"")"),20)</f>
        <v>20</v>
      </c>
      <c r="J103" s="214">
        <v>0</v>
      </c>
      <c r="K103" s="496">
        <f t="shared" ca="1" si="56"/>
        <v>0</v>
      </c>
      <c r="L103" s="496"/>
      <c r="M103" s="496"/>
      <c r="N103" s="496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6" t="s">
        <v>35</v>
      </c>
      <c r="I104" s="269">
        <f ca="1">IFERROR(__xludf.DUMMYFUNCTION("IMPORTRANGE(""https://docs.google.com/spreadsheets/d/1QqKyyYR6Q21VydFLVH3TRQUabQu_ym0Zz7PgGX0-kHA/edit?usp=sharing"",""แผน!O39"")"),20)</f>
        <v>20</v>
      </c>
      <c r="J104" s="214">
        <v>0</v>
      </c>
      <c r="K104" s="496">
        <f t="shared" ca="1" si="56"/>
        <v>0</v>
      </c>
      <c r="L104" s="496"/>
      <c r="M104" s="496"/>
      <c r="N104" s="496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69"/>
      <c r="J105" s="269"/>
      <c r="K105" s="496"/>
      <c r="L105" s="496"/>
      <c r="M105" s="496"/>
      <c r="N105" s="496"/>
      <c r="O105" s="163"/>
      <c r="P105" s="163"/>
    </row>
    <row r="106" spans="1:16" ht="19.5">
      <c r="A106" s="170"/>
      <c r="B106" s="171"/>
      <c r="C106" s="171"/>
      <c r="D106" s="178"/>
      <c r="E106" s="446" t="s">
        <v>54</v>
      </c>
      <c r="F106" s="178"/>
      <c r="G106" s="179"/>
      <c r="H106" s="616" t="s">
        <v>49</v>
      </c>
      <c r="I106" s="269">
        <f ca="1">IFERROR(__xludf.DUMMYFUNCTION("IMPORTRANGE(""https://docs.google.com/spreadsheets/d/1QqKyyYR6Q21VydFLVH3TRQUabQu_ym0Zz7PgGX0-kHA/edit?usp=sharing"",""แผน!P39"")"),1)</f>
        <v>1</v>
      </c>
      <c r="J106" s="214">
        <v>0</v>
      </c>
      <c r="K106" s="496">
        <f t="shared" ref="K106:K107" ca="1" si="57">IF(I106&gt;0,J106*100/I106,0)</f>
        <v>0</v>
      </c>
      <c r="L106" s="496"/>
      <c r="M106" s="496"/>
      <c r="N106" s="496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6" t="s">
        <v>49</v>
      </c>
      <c r="I107" s="269">
        <f ca="1">IFERROR(__xludf.DUMMYFUNCTION("IMPORTRANGE(""https://docs.google.com/spreadsheets/d/1QqKyyYR6Q21VydFLVH3TRQUabQu_ym0Zz7PgGX0-kHA/edit?usp=sharing"",""แผน!P39"")"),1)</f>
        <v>1</v>
      </c>
      <c r="J107" s="214">
        <v>0</v>
      </c>
      <c r="K107" s="496">
        <f t="shared" ca="1" si="57"/>
        <v>0</v>
      </c>
      <c r="L107" s="496"/>
      <c r="M107" s="496"/>
      <c r="N107" s="496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69"/>
      <c r="J108" s="269"/>
      <c r="K108" s="496"/>
      <c r="L108" s="496"/>
      <c r="M108" s="496"/>
      <c r="N108" s="496"/>
      <c r="O108" s="163"/>
      <c r="P108" s="163"/>
    </row>
    <row r="109" spans="1:16" ht="19.5">
      <c r="A109" s="170"/>
      <c r="B109" s="171"/>
      <c r="C109" s="171"/>
      <c r="D109" s="178"/>
      <c r="E109" s="446" t="s">
        <v>57</v>
      </c>
      <c r="F109" s="178"/>
      <c r="G109" s="179"/>
      <c r="H109" s="616" t="s">
        <v>49</v>
      </c>
      <c r="I109" s="269">
        <f ca="1">IFERROR(__xludf.DUMMYFUNCTION("IMPORTRANGE(""https://docs.google.com/spreadsheets/d/1QqKyyYR6Q21VydFLVH3TRQUabQu_ym0Zz7PgGX0-kHA/edit?usp=sharing"",""แผน!Q39"")"),1)</f>
        <v>1</v>
      </c>
      <c r="J109" s="214">
        <v>0</v>
      </c>
      <c r="K109" s="496">
        <f t="shared" ref="K109:K116" ca="1" si="58">IF(I109&gt;0,J109*100/I109,0)</f>
        <v>0</v>
      </c>
      <c r="L109" s="496"/>
      <c r="M109" s="496"/>
      <c r="N109" s="496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6" t="s">
        <v>49</v>
      </c>
      <c r="I110" s="269">
        <f ca="1">IFERROR(__xludf.DUMMYFUNCTION("IMPORTRANGE(""https://docs.google.com/spreadsheets/d/1QqKyyYR6Q21VydFLVH3TRQUabQu_ym0Zz7PgGX0-kHA/edit?usp=sharing"",""แผน!Q39"")"),1)</f>
        <v>1</v>
      </c>
      <c r="J110" s="214">
        <v>0</v>
      </c>
      <c r="K110" s="496">
        <f t="shared" ca="1" si="58"/>
        <v>0</v>
      </c>
      <c r="L110" s="496"/>
      <c r="M110" s="496"/>
      <c r="N110" s="496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58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74">
        <f>J114</f>
        <v>0</v>
      </c>
      <c r="K111" s="195">
        <f t="shared" ca="1" si="58"/>
        <v>0</v>
      </c>
      <c r="L111" s="496"/>
      <c r="M111" s="496"/>
      <c r="N111" s="496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4">
        <f t="shared" si="59"/>
        <v>0</v>
      </c>
      <c r="K112" s="195">
        <f t="shared" ca="1" si="58"/>
        <v>0</v>
      </c>
      <c r="L112" s="496"/>
      <c r="M112" s="496"/>
      <c r="N112" s="496"/>
      <c r="O112" s="163"/>
      <c r="P112" s="163"/>
    </row>
    <row r="113" spans="1:26" ht="19.5">
      <c r="A113" s="170"/>
      <c r="B113" s="171"/>
      <c r="C113" s="171"/>
      <c r="D113" s="171"/>
      <c r="E113" s="525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4">
        <v>0</v>
      </c>
      <c r="K113" s="496">
        <f t="shared" ca="1" si="58"/>
        <v>0</v>
      </c>
      <c r="L113" s="496"/>
      <c r="M113" s="496"/>
      <c r="N113" s="496"/>
      <c r="O113" s="163"/>
      <c r="P113" s="163"/>
    </row>
    <row r="114" spans="1:26" ht="19.5">
      <c r="A114" s="170"/>
      <c r="B114" s="171"/>
      <c r="C114" s="171"/>
      <c r="D114" s="171"/>
      <c r="E114" s="446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4">
        <v>0</v>
      </c>
      <c r="K114" s="496">
        <f t="shared" ca="1" si="58"/>
        <v>0</v>
      </c>
      <c r="L114" s="496"/>
      <c r="M114" s="496"/>
      <c r="N114" s="496"/>
      <c r="O114" s="163"/>
      <c r="P114" s="163"/>
    </row>
    <row r="115" spans="1:26" ht="18.75">
      <c r="A115" s="170"/>
      <c r="B115" s="171"/>
      <c r="C115" s="171"/>
      <c r="D115" s="171"/>
      <c r="E115" s="446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4">
        <v>0</v>
      </c>
      <c r="K115" s="496">
        <f t="shared" ca="1" si="58"/>
        <v>0</v>
      </c>
      <c r="L115" s="496"/>
      <c r="M115" s="496"/>
      <c r="N115" s="496"/>
      <c r="O115" s="163"/>
      <c r="P115" s="163"/>
    </row>
    <row r="116" spans="1:26" ht="18.75">
      <c r="A116" s="170"/>
      <c r="B116" s="171"/>
      <c r="C116" s="171"/>
      <c r="D116" s="171"/>
      <c r="E116" s="446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4">
        <v>0</v>
      </c>
      <c r="K116" s="496">
        <f t="shared" ca="1" si="58"/>
        <v>0</v>
      </c>
      <c r="L116" s="496"/>
      <c r="M116" s="496"/>
      <c r="N116" s="496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8" t="s">
        <v>65</v>
      </c>
      <c r="C118" s="204"/>
      <c r="D118" s="141"/>
      <c r="E118" s="140"/>
      <c r="F118" s="140"/>
      <c r="G118" s="142"/>
      <c r="H118" s="143"/>
      <c r="I118" s="205"/>
      <c r="J118" s="205"/>
      <c r="K118" s="146"/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4" t="s">
        <v>17</v>
      </c>
      <c r="E119" s="148"/>
      <c r="F119" s="148"/>
      <c r="G119" s="151"/>
      <c r="H119" s="152" t="s">
        <v>12</v>
      </c>
      <c r="I119" s="419"/>
      <c r="J119" s="419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2" t="s">
        <v>18</v>
      </c>
      <c r="F120" s="40"/>
      <c r="G120" s="157"/>
      <c r="H120" s="158" t="s">
        <v>12</v>
      </c>
      <c r="I120" s="610"/>
      <c r="J120" s="610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2" t="s">
        <v>19</v>
      </c>
      <c r="F121" s="40"/>
      <c r="G121" s="157"/>
      <c r="H121" s="158" t="s">
        <v>12</v>
      </c>
      <c r="I121" s="610"/>
      <c r="J121" s="610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1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6">
        <f t="shared" ref="L122:N122" ca="1" si="64">L123+L124</f>
        <v>0</v>
      </c>
      <c r="M122" s="496">
        <f t="shared" ca="1" si="64"/>
        <v>0</v>
      </c>
      <c r="N122" s="496">
        <f t="shared" ca="1" si="64"/>
        <v>0</v>
      </c>
      <c r="O122" s="496">
        <f t="shared" ca="1" si="61"/>
        <v>0</v>
      </c>
      <c r="P122" s="496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2"/>
      <c r="D123" s="40"/>
      <c r="E123" s="222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2"/>
      <c r="D124" s="40"/>
      <c r="E124" s="222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1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6">
        <f t="shared" ref="L125:N125" ca="1" si="65">L126+L127</f>
        <v>212000</v>
      </c>
      <c r="M125" s="496">
        <f t="shared" ca="1" si="65"/>
        <v>212000</v>
      </c>
      <c r="N125" s="496">
        <f t="shared" ca="1" si="65"/>
        <v>212000</v>
      </c>
      <c r="O125" s="496">
        <f t="shared" ca="1" si="61"/>
        <v>100</v>
      </c>
      <c r="P125" s="496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2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2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66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8" t="s">
        <v>67</v>
      </c>
      <c r="C129" s="204"/>
      <c r="D129" s="141"/>
      <c r="E129" s="140"/>
      <c r="F129" s="140"/>
      <c r="G129" s="140"/>
      <c r="H129" s="207"/>
      <c r="I129" s="205"/>
      <c r="J129" s="205"/>
      <c r="K129" s="146"/>
      <c r="L129" s="146"/>
      <c r="M129" s="146"/>
      <c r="N129" s="146"/>
      <c r="O129" s="146"/>
      <c r="P129" s="146"/>
    </row>
    <row r="130" spans="1:26" ht="19.5">
      <c r="A130" s="138"/>
      <c r="B130" s="208"/>
      <c r="C130" s="209" t="s">
        <v>68</v>
      </c>
      <c r="D130" s="141"/>
      <c r="E130" s="140"/>
      <c r="F130" s="140"/>
      <c r="G130" s="142"/>
      <c r="H130" s="143" t="s">
        <v>69</v>
      </c>
      <c r="I130" s="144">
        <f t="shared" ref="I130:J130" ca="1" si="66">I146</f>
        <v>3</v>
      </c>
      <c r="J130" s="144">
        <f t="shared" si="66"/>
        <v>2</v>
      </c>
      <c r="K130" s="145">
        <f t="shared" ref="K130:K131" ca="1" si="67">IF(I130&gt;0,J130*100/I130,0)</f>
        <v>66.666666666666671</v>
      </c>
      <c r="L130" s="146"/>
      <c r="M130" s="146"/>
      <c r="N130" s="146"/>
      <c r="O130" s="146"/>
      <c r="P130" s="146"/>
    </row>
    <row r="131" spans="1:26" ht="19.5">
      <c r="A131" s="138"/>
      <c r="B131" s="208"/>
      <c r="C131" s="209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4" t="s">
        <v>17</v>
      </c>
      <c r="E132" s="148"/>
      <c r="F132" s="148"/>
      <c r="G132" s="151"/>
      <c r="H132" s="152" t="s">
        <v>12</v>
      </c>
      <c r="I132" s="419"/>
      <c r="J132" s="419"/>
      <c r="K132" s="154"/>
      <c r="L132" s="155">
        <f t="shared" ref="L132:N132" ca="1" si="69">L133+L134</f>
        <v>454965</v>
      </c>
      <c r="M132" s="155">
        <f t="shared" ca="1" si="69"/>
        <v>400800</v>
      </c>
      <c r="N132" s="155">
        <f t="shared" ca="1" si="69"/>
        <v>323320</v>
      </c>
      <c r="O132" s="155">
        <f t="shared" ref="O132:O140" ca="1" si="70">IF(L132&gt;0,N132*100/L132,0)</f>
        <v>71.064807182970114</v>
      </c>
      <c r="P132" s="155">
        <f t="shared" ref="P132:P140" ca="1" si="71">IF(M132&gt;0,N132*100/M132,0)</f>
        <v>80.668662674650705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2" t="s">
        <v>18</v>
      </c>
      <c r="F133" s="40"/>
      <c r="G133" s="157"/>
      <c r="H133" s="158" t="s">
        <v>12</v>
      </c>
      <c r="I133" s="610"/>
      <c r="J133" s="610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2" t="s">
        <v>19</v>
      </c>
      <c r="F134" s="40"/>
      <c r="G134" s="157"/>
      <c r="H134" s="158" t="s">
        <v>12</v>
      </c>
      <c r="I134" s="610"/>
      <c r="J134" s="610"/>
      <c r="K134" s="93"/>
      <c r="L134" s="93">
        <f t="shared" ca="1" si="72"/>
        <v>454965</v>
      </c>
      <c r="M134" s="93">
        <f t="shared" ca="1" si="72"/>
        <v>400800</v>
      </c>
      <c r="N134" s="93">
        <f t="shared" ca="1" si="72"/>
        <v>323320</v>
      </c>
      <c r="O134" s="93">
        <f t="shared" ca="1" si="70"/>
        <v>71.064807182970114</v>
      </c>
      <c r="P134" s="93">
        <f t="shared" ca="1" si="71"/>
        <v>80.668662674650705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1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6">
        <f t="shared" ref="L135:N135" ca="1" si="73">L136+L137</f>
        <v>145965</v>
      </c>
      <c r="M135" s="496">
        <f t="shared" ca="1" si="73"/>
        <v>91800</v>
      </c>
      <c r="N135" s="496">
        <f t="shared" ca="1" si="73"/>
        <v>14320</v>
      </c>
      <c r="O135" s="496">
        <f t="shared" ca="1" si="70"/>
        <v>9.8105710273010658</v>
      </c>
      <c r="P135" s="496">
        <f t="shared" ca="1" si="71"/>
        <v>15.599128540305012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2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2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IFERROR(__xludf.DUMMYFUNCTION("IMPORTRANGE(""https://docs.google.com/spreadsheets/d/1MeEWN-I1oV_STSDYn1IFDPWt_1FKiwhDph83XaGc0o0/edit?usp=sharing"",""งบพรบ!BP39"")"),91800)</f>
        <v>91800</v>
      </c>
      <c r="N137" s="93">
        <f ca="1">IFERROR(__xludf.DUMMYFUNCTION("IMPORTRANGE(""https://docs.google.com/spreadsheets/d/1MeEWN-I1oV_STSDYn1IFDPWt_1FKiwhDph83XaGc0o0/edit?usp=sharing"",""งบพรบ!BR39"")"),14320)</f>
        <v>14320</v>
      </c>
      <c r="O137" s="93">
        <f t="shared" ca="1" si="70"/>
        <v>9.8105710273010658</v>
      </c>
      <c r="P137" s="93">
        <f t="shared" ca="1" si="71"/>
        <v>15.599128540305012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1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6">
        <f t="shared" ref="L138:N138" ca="1" si="74">L139+L140</f>
        <v>309000</v>
      </c>
      <c r="M138" s="496">
        <f t="shared" ca="1" si="74"/>
        <v>309000</v>
      </c>
      <c r="N138" s="496">
        <f t="shared" ca="1" si="74"/>
        <v>309000</v>
      </c>
      <c r="O138" s="496">
        <f t="shared" ca="1" si="70"/>
        <v>100</v>
      </c>
      <c r="P138" s="496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2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2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5" t="s">
        <v>38</v>
      </c>
      <c r="E141" s="173"/>
      <c r="F141" s="173"/>
      <c r="G141" s="174"/>
      <c r="H141" s="168"/>
      <c r="I141" s="269"/>
      <c r="J141" s="269"/>
      <c r="K141" s="496"/>
      <c r="L141" s="496"/>
      <c r="M141" s="496"/>
      <c r="N141" s="496"/>
      <c r="O141" s="496"/>
      <c r="P141" s="496"/>
    </row>
    <row r="142" spans="1:26" ht="19.5">
      <c r="A142" s="159"/>
      <c r="B142" s="33"/>
      <c r="C142" s="210"/>
      <c r="D142" s="281" t="s">
        <v>71</v>
      </c>
      <c r="E142" s="34"/>
      <c r="F142" s="33"/>
      <c r="G142" s="213"/>
      <c r="H142" s="168"/>
      <c r="I142" s="269"/>
      <c r="J142" s="214">
        <v>0</v>
      </c>
      <c r="K142" s="496"/>
      <c r="L142" s="496"/>
      <c r="M142" s="496"/>
      <c r="N142" s="496"/>
      <c r="O142" s="496"/>
      <c r="P142" s="496"/>
    </row>
    <row r="143" spans="1:26" ht="19.5">
      <c r="A143" s="159"/>
      <c r="B143" s="33"/>
      <c r="C143" s="210"/>
      <c r="D143" s="281" t="s">
        <v>72</v>
      </c>
      <c r="E143" s="34"/>
      <c r="F143" s="33"/>
      <c r="G143" s="213"/>
      <c r="H143" s="168" t="s">
        <v>35</v>
      </c>
      <c r="I143" s="269">
        <f ca="1">I145</f>
        <v>30</v>
      </c>
      <c r="J143" s="269">
        <f ca="1">IF(AND(J144&gt;=I144,J145&gt;=I145),J145,0)</f>
        <v>0</v>
      </c>
      <c r="K143" s="496">
        <f t="shared" ref="K143:K146" ca="1" si="75">IF(I143&gt;0,J143*100/I143,0)</f>
        <v>0</v>
      </c>
      <c r="L143" s="496"/>
      <c r="M143" s="496"/>
      <c r="N143" s="496"/>
      <c r="O143" s="496"/>
      <c r="P143" s="496"/>
    </row>
    <row r="144" spans="1:26" ht="19.5">
      <c r="A144" s="159"/>
      <c r="B144" s="33"/>
      <c r="C144" s="210"/>
      <c r="D144" s="178"/>
      <c r="E144" s="281" t="s">
        <v>73</v>
      </c>
      <c r="F144" s="33"/>
      <c r="G144" s="213"/>
      <c r="H144" s="168" t="s">
        <v>35</v>
      </c>
      <c r="I144" s="269">
        <f ca="1">IFERROR(__xludf.DUMMYFUNCTION("IMPORTRANGE(""https://docs.google.com/spreadsheets/d/1QqKyyYR6Q21VydFLVH3TRQUabQu_ym0Zz7PgGX0-kHA/edit?usp=sharing"",""แผน!U39"")"),15)</f>
        <v>15</v>
      </c>
      <c r="J144" s="214">
        <v>0</v>
      </c>
      <c r="K144" s="496">
        <f t="shared" ca="1" si="75"/>
        <v>0</v>
      </c>
      <c r="L144" s="496"/>
      <c r="M144" s="496"/>
      <c r="N144" s="496"/>
      <c r="O144" s="496"/>
      <c r="P144" s="496"/>
    </row>
    <row r="145" spans="1:26" ht="19.5">
      <c r="A145" s="159"/>
      <c r="B145" s="33"/>
      <c r="C145" s="210"/>
      <c r="D145" s="178"/>
      <c r="E145" s="281" t="s">
        <v>74</v>
      </c>
      <c r="F145" s="33"/>
      <c r="G145" s="213"/>
      <c r="H145" s="168" t="s">
        <v>35</v>
      </c>
      <c r="I145" s="269">
        <f ca="1">IFERROR(__xludf.DUMMYFUNCTION("IMPORTRANGE(""https://docs.google.com/spreadsheets/d/1QqKyyYR6Q21VydFLVH3TRQUabQu_ym0Zz7PgGX0-kHA/edit?usp=sharing"",""แผน!V39"")"),30)</f>
        <v>30</v>
      </c>
      <c r="J145" s="214">
        <v>0</v>
      </c>
      <c r="K145" s="496">
        <f t="shared" ca="1" si="75"/>
        <v>0</v>
      </c>
      <c r="L145" s="496"/>
      <c r="M145" s="496"/>
      <c r="N145" s="496"/>
      <c r="O145" s="496"/>
      <c r="P145" s="496"/>
    </row>
    <row r="146" spans="1:26" ht="19.5">
      <c r="A146" s="159"/>
      <c r="B146" s="33"/>
      <c r="C146" s="210"/>
      <c r="D146" s="281" t="s">
        <v>75</v>
      </c>
      <c r="E146" s="34"/>
      <c r="F146" s="33"/>
      <c r="G146" s="213"/>
      <c r="H146" s="168" t="s">
        <v>69</v>
      </c>
      <c r="I146" s="269">
        <f ca="1">IFERROR(__xludf.DUMMYFUNCTION("IMPORTRANGE(""https://docs.google.com/spreadsheets/d/1QqKyyYR6Q21VydFLVH3TRQUabQu_ym0Zz7PgGX0-kHA/edit?usp=sharing"",""แผน!W39"")"),3)</f>
        <v>3</v>
      </c>
      <c r="J146" s="214">
        <v>2</v>
      </c>
      <c r="K146" s="496">
        <f t="shared" ca="1" si="75"/>
        <v>66.666666666666671</v>
      </c>
      <c r="L146" s="496"/>
      <c r="M146" s="496"/>
      <c r="N146" s="496"/>
      <c r="O146" s="496"/>
      <c r="P146" s="496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6"/>
      <c r="B148" s="208" t="s">
        <v>77</v>
      </c>
      <c r="C148" s="208"/>
      <c r="D148" s="208"/>
      <c r="E148" s="846"/>
      <c r="F148" s="218"/>
      <c r="G148" s="219"/>
      <c r="H148" s="220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t="19.5" hidden="1">
      <c r="A149" s="147"/>
      <c r="B149" s="148"/>
      <c r="C149" s="149" t="s">
        <v>16</v>
      </c>
      <c r="D149" s="844" t="s">
        <v>17</v>
      </c>
      <c r="E149" s="148"/>
      <c r="F149" s="148"/>
      <c r="G149" s="151"/>
      <c r="H149" s="152" t="s">
        <v>12</v>
      </c>
      <c r="I149" s="419"/>
      <c r="J149" s="419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2" t="s">
        <v>18</v>
      </c>
      <c r="F150" s="40"/>
      <c r="G150" s="157"/>
      <c r="H150" s="158" t="s">
        <v>12</v>
      </c>
      <c r="I150" s="610"/>
      <c r="J150" s="610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2" t="s">
        <v>19</v>
      </c>
      <c r="F151" s="40"/>
      <c r="G151" s="157"/>
      <c r="H151" s="158" t="s">
        <v>12</v>
      </c>
      <c r="I151" s="610"/>
      <c r="J151" s="610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1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6">
        <f t="shared" ref="L152:N152" ca="1" si="81">L153+L154</f>
        <v>0</v>
      </c>
      <c r="M152" s="496">
        <f t="shared" ca="1" si="81"/>
        <v>0</v>
      </c>
      <c r="N152" s="496">
        <f t="shared" ca="1" si="81"/>
        <v>0</v>
      </c>
      <c r="O152" s="496">
        <f t="shared" ca="1" si="78"/>
        <v>0</v>
      </c>
      <c r="P152" s="496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2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2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1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6">
        <f t="shared" ref="L155:N155" ca="1" si="82">L156+L157</f>
        <v>0</v>
      </c>
      <c r="M155" s="496">
        <f t="shared" ca="1" si="82"/>
        <v>0</v>
      </c>
      <c r="N155" s="496">
        <f t="shared" ca="1" si="82"/>
        <v>0</v>
      </c>
      <c r="O155" s="496">
        <f t="shared" ca="1" si="78"/>
        <v>0</v>
      </c>
      <c r="P155" s="496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2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2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5" t="s">
        <v>38</v>
      </c>
      <c r="E158" s="173"/>
      <c r="F158" s="173"/>
      <c r="G158" s="174"/>
      <c r="H158" s="168"/>
      <c r="I158" s="269"/>
      <c r="J158" s="269"/>
      <c r="K158" s="496"/>
      <c r="L158" s="496"/>
      <c r="M158" s="496"/>
      <c r="N158" s="496"/>
      <c r="O158" s="496"/>
      <c r="P158" s="496"/>
    </row>
    <row r="159" spans="1:26" ht="19.5" hidden="1">
      <c r="A159" s="159"/>
      <c r="B159" s="33"/>
      <c r="C159" s="210"/>
      <c r="D159" s="281" t="s">
        <v>78</v>
      </c>
      <c r="E159" s="34"/>
      <c r="F159" s="33"/>
      <c r="G159" s="213"/>
      <c r="H159" s="168" t="s">
        <v>35</v>
      </c>
      <c r="I159" s="269">
        <f ca="1">IFERROR(__xludf.DUMMYFUNCTION("IMPORTRANGE(""https://docs.google.com/spreadsheets/d/1QqKyyYR6Q21VydFLVH3TRQUabQu_ym0Zz7PgGX0-kHA/edit?usp=sharing"",""แผน!X39"")"),0)</f>
        <v>0</v>
      </c>
      <c r="J159" s="214">
        <v>0</v>
      </c>
      <c r="K159" s="496">
        <f ca="1">IF(I159&gt;0,J159*100/I159,0)</f>
        <v>0</v>
      </c>
      <c r="L159" s="496"/>
      <c r="M159" s="496"/>
      <c r="N159" s="496"/>
      <c r="O159" s="496"/>
      <c r="P159" s="496"/>
    </row>
    <row r="160" spans="1:26" ht="19.5" hidden="1">
      <c r="A160" s="156"/>
      <c r="B160" s="40"/>
      <c r="C160" s="164"/>
      <c r="D160" s="222" t="s">
        <v>79</v>
      </c>
      <c r="E160" s="223"/>
      <c r="F160" s="40"/>
      <c r="G160" s="157"/>
      <c r="H160" s="169" t="s">
        <v>35</v>
      </c>
      <c r="I160" s="610"/>
      <c r="J160" s="610"/>
      <c r="K160" s="93"/>
      <c r="L160" s="93"/>
      <c r="M160" s="93"/>
      <c r="N160" s="93"/>
      <c r="O160" s="93"/>
      <c r="P160" s="93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</row>
    <row r="161" spans="1:26" ht="19.5" hidden="1">
      <c r="A161" s="225"/>
      <c r="B161" s="226"/>
      <c r="C161" s="227"/>
      <c r="D161" s="228" t="s">
        <v>80</v>
      </c>
      <c r="E161" s="847"/>
      <c r="F161" s="226"/>
      <c r="G161" s="230"/>
      <c r="H161" s="231" t="s">
        <v>35</v>
      </c>
      <c r="I161" s="232"/>
      <c r="J161" s="232"/>
      <c r="K161" s="233"/>
      <c r="L161" s="233"/>
      <c r="M161" s="233"/>
      <c r="N161" s="233"/>
      <c r="O161" s="233"/>
      <c r="P161" s="233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</row>
    <row r="162" spans="1:26" ht="19.5">
      <c r="A162" s="234" t="s">
        <v>81</v>
      </c>
      <c r="B162" s="235"/>
      <c r="C162" s="235"/>
      <c r="D162" s="235"/>
      <c r="E162" s="236"/>
      <c r="F162" s="236"/>
      <c r="G162" s="237"/>
      <c r="H162" s="238"/>
      <c r="I162" s="239"/>
      <c r="J162" s="239"/>
      <c r="K162" s="240"/>
      <c r="L162" s="240"/>
      <c r="M162" s="240"/>
      <c r="N162" s="240"/>
      <c r="O162" s="240"/>
      <c r="P162" s="240"/>
    </row>
    <row r="163" spans="1:26" ht="19.5">
      <c r="A163" s="241" t="s">
        <v>82</v>
      </c>
      <c r="B163" s="242"/>
      <c r="C163" s="242"/>
      <c r="D163" s="243"/>
      <c r="E163" s="243"/>
      <c r="F163" s="243"/>
      <c r="G163" s="244"/>
      <c r="H163" s="245"/>
      <c r="I163" s="246"/>
      <c r="J163" s="246"/>
      <c r="K163" s="247"/>
      <c r="L163" s="247"/>
      <c r="M163" s="247"/>
      <c r="N163" s="247"/>
      <c r="O163" s="247"/>
      <c r="P163" s="247"/>
    </row>
    <row r="164" spans="1:26" ht="19.5">
      <c r="A164" s="248"/>
      <c r="B164" s="249" t="s">
        <v>83</v>
      </c>
      <c r="C164" s="250"/>
      <c r="D164" s="173"/>
      <c r="E164" s="173"/>
      <c r="F164" s="173"/>
      <c r="G164" s="174"/>
      <c r="H164" s="251" t="s">
        <v>35</v>
      </c>
      <c r="I164" s="848">
        <f t="shared" ref="I164:J164" ca="1" si="83">I174+I177</f>
        <v>12</v>
      </c>
      <c r="J164" s="848">
        <f t="shared" si="83"/>
        <v>0</v>
      </c>
      <c r="K164" s="254">
        <f ca="1">IF(I164&gt;0,J164*100/I164,0)</f>
        <v>0</v>
      </c>
      <c r="L164" s="254"/>
      <c r="M164" s="254"/>
      <c r="N164" s="254"/>
      <c r="O164" s="254"/>
      <c r="P164" s="254"/>
    </row>
    <row r="165" spans="1:26" ht="19.5">
      <c r="A165" s="147"/>
      <c r="B165" s="148"/>
      <c r="C165" s="149" t="s">
        <v>16</v>
      </c>
      <c r="D165" s="844" t="s">
        <v>17</v>
      </c>
      <c r="E165" s="148"/>
      <c r="F165" s="148"/>
      <c r="G165" s="151"/>
      <c r="H165" s="152" t="s">
        <v>12</v>
      </c>
      <c r="I165" s="419"/>
      <c r="J165" s="419"/>
      <c r="K165" s="154"/>
      <c r="L165" s="154">
        <f t="shared" ref="L165:N165" ca="1" si="84">L166+L167</f>
        <v>23060</v>
      </c>
      <c r="M165" s="154">
        <f t="shared" ca="1" si="84"/>
        <v>23060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2" t="s">
        <v>18</v>
      </c>
      <c r="F166" s="40"/>
      <c r="G166" s="157"/>
      <c r="H166" s="158" t="s">
        <v>12</v>
      </c>
      <c r="I166" s="610"/>
      <c r="J166" s="610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2" t="s">
        <v>19</v>
      </c>
      <c r="F167" s="40"/>
      <c r="G167" s="157"/>
      <c r="H167" s="158" t="s">
        <v>12</v>
      </c>
      <c r="I167" s="610"/>
      <c r="J167" s="610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1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6">
        <f t="shared" ref="L168:N168" ca="1" si="88">L169+L170</f>
        <v>23060</v>
      </c>
      <c r="M168" s="496">
        <f t="shared" ca="1" si="88"/>
        <v>23060</v>
      </c>
      <c r="N168" s="496">
        <f t="shared" ca="1" si="88"/>
        <v>0</v>
      </c>
      <c r="O168" s="496">
        <f t="shared" ca="1" si="85"/>
        <v>0</v>
      </c>
      <c r="P168" s="496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2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2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IFERROR(__xludf.DUMMYFUNCTION("IMPORTRANGE(""https://docs.google.com/spreadsheets/d/1MeEWN-I1oV_STSDYn1IFDPWt_1FKiwhDph83XaGc0o0/edit?usp=sharing"",""งบพรบ!CJ39"")"),23060)</f>
        <v>23060</v>
      </c>
      <c r="N170" s="93">
        <f ca="1">IFERROR(__xludf.DUMMYFUNCTION("IMPORTRANGE(""https://docs.google.com/spreadsheets/d/1MeEWN-I1oV_STSDYn1IFDPWt_1FKiwhDph83XaGc0o0/edit?usp=sharing"",""งบพรบ!CL39"")"),0)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1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6">
        <f t="shared" ref="L171:N171" ca="1" si="89">L172+L173</f>
        <v>0</v>
      </c>
      <c r="M171" s="496">
        <f t="shared" ca="1" si="89"/>
        <v>0</v>
      </c>
      <c r="N171" s="496">
        <f t="shared" ca="1" si="89"/>
        <v>0</v>
      </c>
      <c r="O171" s="496">
        <f t="shared" ca="1" si="85"/>
        <v>0</v>
      </c>
      <c r="P171" s="496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2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2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5"/>
      <c r="B174" s="256"/>
      <c r="C174" s="257" t="s">
        <v>84</v>
      </c>
      <c r="D174" s="256"/>
      <c r="E174" s="256"/>
      <c r="F174" s="256"/>
      <c r="G174" s="258"/>
      <c r="H174" s="259" t="s">
        <v>35</v>
      </c>
      <c r="I174" s="260">
        <f t="shared" ref="I174:J174" ca="1" si="90">I176</f>
        <v>12</v>
      </c>
      <c r="J174" s="260">
        <f t="shared" si="90"/>
        <v>0</v>
      </c>
      <c r="K174" s="261">
        <f ca="1">IF(I174&gt;0,J174*100/I174,0)</f>
        <v>0</v>
      </c>
      <c r="L174" s="261"/>
      <c r="M174" s="261"/>
      <c r="N174" s="261"/>
      <c r="O174" s="261"/>
      <c r="P174" s="261"/>
    </row>
    <row r="175" spans="1:26" ht="19.5">
      <c r="A175" s="170"/>
      <c r="B175" s="171"/>
      <c r="C175" s="164" t="s">
        <v>16</v>
      </c>
      <c r="D175" s="845" t="s">
        <v>38</v>
      </c>
      <c r="E175" s="173"/>
      <c r="F175" s="173"/>
      <c r="G175" s="174"/>
      <c r="H175" s="753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37" t="s">
        <v>85</v>
      </c>
      <c r="E176" s="178"/>
      <c r="F176" s="178"/>
      <c r="G176" s="179"/>
      <c r="H176" s="616" t="s">
        <v>35</v>
      </c>
      <c r="I176" s="269">
        <f ca="1">IFERROR(__xludf.DUMMYFUNCTION("IMPORTRANGE(""https://docs.google.com/spreadsheets/d/1QqKyyYR6Q21VydFLVH3TRQUabQu_ym0Zz7PgGX0-kHA/edit?usp=sharing"",""แผน!Y39"")"),12)</f>
        <v>12</v>
      </c>
      <c r="J176" s="214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5"/>
      <c r="B177" s="263"/>
      <c r="C177" s="264" t="s">
        <v>86</v>
      </c>
      <c r="D177" s="263"/>
      <c r="E177" s="256"/>
      <c r="F177" s="256"/>
      <c r="G177" s="258"/>
      <c r="H177" s="265" t="s">
        <v>35</v>
      </c>
      <c r="I177" s="260"/>
      <c r="J177" s="260">
        <f>J179</f>
        <v>0</v>
      </c>
      <c r="K177" s="261"/>
      <c r="L177" s="261"/>
      <c r="M177" s="261"/>
      <c r="N177" s="261"/>
      <c r="O177" s="261"/>
      <c r="P177" s="261"/>
    </row>
    <row r="178" spans="1:26" ht="19.5" hidden="1">
      <c r="A178" s="170"/>
      <c r="B178" s="171"/>
      <c r="C178" s="164" t="s">
        <v>16</v>
      </c>
      <c r="D178" s="266" t="s">
        <v>38</v>
      </c>
      <c r="E178" s="173"/>
      <c r="F178" s="173"/>
      <c r="G178" s="174"/>
      <c r="H178" s="753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3" t="s">
        <v>87</v>
      </c>
      <c r="E179" s="178"/>
      <c r="F179" s="366"/>
      <c r="G179" s="179"/>
      <c r="H179" s="43" t="s">
        <v>35</v>
      </c>
      <c r="I179" s="269"/>
      <c r="J179" s="269"/>
      <c r="K179" s="163"/>
      <c r="L179" s="163"/>
      <c r="M179" s="163"/>
      <c r="N179" s="163"/>
      <c r="O179" s="163"/>
      <c r="P179" s="163"/>
    </row>
    <row r="180" spans="1:26" ht="19.5">
      <c r="A180" s="248"/>
      <c r="B180" s="249" t="s">
        <v>88</v>
      </c>
      <c r="C180" s="250"/>
      <c r="D180" s="173"/>
      <c r="E180" s="173"/>
      <c r="F180" s="173"/>
      <c r="G180" s="174"/>
      <c r="H180" s="251" t="s">
        <v>35</v>
      </c>
      <c r="I180" s="848"/>
      <c r="J180" s="848">
        <f>J225+J226</f>
        <v>0</v>
      </c>
      <c r="K180" s="254">
        <f>IF(I180&gt;0,J180*100/I180,0)</f>
        <v>0</v>
      </c>
      <c r="L180" s="254"/>
      <c r="M180" s="254"/>
      <c r="N180" s="254"/>
      <c r="O180" s="254"/>
      <c r="P180" s="254"/>
    </row>
    <row r="181" spans="1:26" ht="19.5">
      <c r="A181" s="147"/>
      <c r="B181" s="148"/>
      <c r="C181" s="149" t="s">
        <v>16</v>
      </c>
      <c r="D181" s="844" t="s">
        <v>17</v>
      </c>
      <c r="E181" s="148"/>
      <c r="F181" s="148"/>
      <c r="G181" s="151"/>
      <c r="H181" s="152" t="s">
        <v>12</v>
      </c>
      <c r="I181" s="419"/>
      <c r="J181" s="419"/>
      <c r="K181" s="154"/>
      <c r="L181" s="154">
        <f t="shared" ref="L181:N181" ca="1" si="91">L182+L183</f>
        <v>55500</v>
      </c>
      <c r="M181" s="154">
        <f t="shared" ca="1" si="91"/>
        <v>21000</v>
      </c>
      <c r="N181" s="154">
        <f t="shared" ca="1" si="91"/>
        <v>0</v>
      </c>
      <c r="O181" s="154">
        <f t="shared" ref="O181:O189" ca="1" si="92">IF(L181&gt;0,N181*100/L181,0)</f>
        <v>0</v>
      </c>
      <c r="P181" s="154">
        <f t="shared" ref="P181:P189" ca="1" si="93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2" t="s">
        <v>18</v>
      </c>
      <c r="F182" s="40"/>
      <c r="G182" s="157"/>
      <c r="H182" s="158" t="s">
        <v>12</v>
      </c>
      <c r="I182" s="610"/>
      <c r="J182" s="610"/>
      <c r="K182" s="93"/>
      <c r="L182" s="93">
        <f t="shared" ref="L182:N183" si="94">L185+L188</f>
        <v>0</v>
      </c>
      <c r="M182" s="93">
        <f t="shared" si="94"/>
        <v>0</v>
      </c>
      <c r="N182" s="93">
        <f t="shared" si="94"/>
        <v>0</v>
      </c>
      <c r="O182" s="93">
        <f t="shared" si="92"/>
        <v>0</v>
      </c>
      <c r="P182" s="93">
        <f t="shared" si="93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2" t="s">
        <v>19</v>
      </c>
      <c r="F183" s="40"/>
      <c r="G183" s="157"/>
      <c r="H183" s="158" t="s">
        <v>12</v>
      </c>
      <c r="I183" s="610"/>
      <c r="J183" s="610"/>
      <c r="K183" s="93"/>
      <c r="L183" s="93">
        <f t="shared" ca="1" si="94"/>
        <v>55500</v>
      </c>
      <c r="M183" s="93">
        <f t="shared" ca="1" si="94"/>
        <v>21000</v>
      </c>
      <c r="N183" s="93">
        <f t="shared" ca="1" si="94"/>
        <v>0</v>
      </c>
      <c r="O183" s="93">
        <f t="shared" ca="1" si="92"/>
        <v>0</v>
      </c>
      <c r="P183" s="93">
        <f t="shared" ca="1" si="93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1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6">
        <f t="shared" ref="L184:N184" ca="1" si="95">L185+L186</f>
        <v>55500</v>
      </c>
      <c r="M184" s="496">
        <f t="shared" ca="1" si="95"/>
        <v>21000</v>
      </c>
      <c r="N184" s="496">
        <f t="shared" ca="1" si="95"/>
        <v>0</v>
      </c>
      <c r="O184" s="496">
        <f t="shared" ca="1" si="92"/>
        <v>0</v>
      </c>
      <c r="P184" s="496">
        <f t="shared" ca="1" si="93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2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2"/>
        <v>0</v>
      </c>
      <c r="P185" s="93">
        <f t="shared" si="93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2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IFERROR(__xludf.DUMMYFUNCTION("IMPORTRANGE(""https://docs.google.com/spreadsheets/d/1MeEWN-I1oV_STSDYn1IFDPWt_1FKiwhDph83XaGc0o0/edit?usp=sharing"",""งบพรบ!CT39"")"),21000)</f>
        <v>21000</v>
      </c>
      <c r="N186" s="93">
        <f ca="1">IFERROR(__xludf.DUMMYFUNCTION("IMPORTRANGE(""https://docs.google.com/spreadsheets/d/1MeEWN-I1oV_STSDYn1IFDPWt_1FKiwhDph83XaGc0o0/edit?usp=sharing"",""งบพรบ!CV39"")"),0)</f>
        <v>0</v>
      </c>
      <c r="O186" s="93">
        <f t="shared" ca="1" si="92"/>
        <v>0</v>
      </c>
      <c r="P186" s="93">
        <f t="shared" ca="1" si="93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1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6">
        <f t="shared" ref="L187:N187" ca="1" si="96">L188+L189</f>
        <v>0</v>
      </c>
      <c r="M187" s="496">
        <f t="shared" ca="1" si="96"/>
        <v>0</v>
      </c>
      <c r="N187" s="496">
        <f t="shared" ca="1" si="96"/>
        <v>0</v>
      </c>
      <c r="O187" s="496">
        <f t="shared" ca="1" si="92"/>
        <v>0</v>
      </c>
      <c r="P187" s="496">
        <f t="shared" ca="1" si="9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2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2"/>
        <v>0</v>
      </c>
      <c r="P188" s="93">
        <f t="shared" si="93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2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2"/>
        <v>0</v>
      </c>
      <c r="P189" s="93">
        <f t="shared" ca="1" si="93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5"/>
      <c r="B190" s="263"/>
      <c r="C190" s="270" t="s">
        <v>89</v>
      </c>
      <c r="D190" s="256"/>
      <c r="E190" s="256"/>
      <c r="F190" s="256"/>
      <c r="G190" s="258"/>
      <c r="H190" s="259" t="s">
        <v>90</v>
      </c>
      <c r="I190" s="271">
        <f t="shared" ref="I190:J190" ca="1" si="97">I193</f>
        <v>4</v>
      </c>
      <c r="J190" s="271">
        <f t="shared" si="97"/>
        <v>0</v>
      </c>
      <c r="K190" s="272">
        <f ca="1">IF(I190&gt;0,J190*100/I190,0)</f>
        <v>0</v>
      </c>
      <c r="L190" s="261"/>
      <c r="M190" s="261"/>
      <c r="N190" s="261"/>
      <c r="O190" s="261"/>
      <c r="P190" s="261"/>
    </row>
    <row r="191" spans="1:26" ht="19.5">
      <c r="A191" s="147"/>
      <c r="B191" s="148"/>
      <c r="C191" s="149" t="s">
        <v>16</v>
      </c>
      <c r="D191" s="849" t="s">
        <v>17</v>
      </c>
      <c r="E191" s="148"/>
      <c r="F191" s="148"/>
      <c r="G191" s="151"/>
      <c r="H191" s="274" t="s">
        <v>12</v>
      </c>
      <c r="I191" s="419"/>
      <c r="J191" s="419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5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0" t="s">
        <v>16</v>
      </c>
      <c r="D192" s="845" t="s">
        <v>38</v>
      </c>
      <c r="E192" s="173"/>
      <c r="F192" s="173"/>
      <c r="G192" s="174"/>
      <c r="H192" s="753"/>
      <c r="I192" s="269"/>
      <c r="J192" s="269"/>
      <c r="K192" s="496"/>
      <c r="L192" s="496"/>
      <c r="M192" s="496"/>
      <c r="N192" s="496"/>
      <c r="O192" s="496"/>
      <c r="P192" s="496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6" t="s">
        <v>91</v>
      </c>
      <c r="E193" s="178"/>
      <c r="F193" s="178"/>
      <c r="G193" s="179"/>
      <c r="H193" s="755" t="s">
        <v>90</v>
      </c>
      <c r="I193" s="269">
        <f ca="1">IFERROR(__xludf.DUMMYFUNCTION("IMPORTRANGE(""https://docs.google.com/spreadsheets/d/1QqKyyYR6Q21VydFLVH3TRQUabQu_ym0Zz7PgGX0-kHA/edit?usp=sharing"",""แผน!AC39"")"),4)</f>
        <v>4</v>
      </c>
      <c r="J193" s="214">
        <v>0</v>
      </c>
      <c r="K193" s="496">
        <f ca="1">IF(I193&gt;0,J193*100/I193,0)</f>
        <v>0</v>
      </c>
      <c r="L193" s="496"/>
      <c r="M193" s="496"/>
      <c r="N193" s="496"/>
      <c r="O193" s="496"/>
      <c r="P193" s="496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6" t="s">
        <v>92</v>
      </c>
      <c r="E194" s="178"/>
      <c r="F194" s="178"/>
      <c r="G194" s="179"/>
      <c r="H194" s="276" t="s">
        <v>35</v>
      </c>
      <c r="I194" s="269"/>
      <c r="J194" s="269">
        <f>J195+J196</f>
        <v>0</v>
      </c>
      <c r="K194" s="496"/>
      <c r="L194" s="496"/>
      <c r="M194" s="496"/>
      <c r="N194" s="496"/>
      <c r="O194" s="496"/>
      <c r="P194" s="496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6" t="s">
        <v>93</v>
      </c>
      <c r="F195" s="178"/>
      <c r="G195" s="179"/>
      <c r="H195" s="276" t="s">
        <v>35</v>
      </c>
      <c r="I195" s="269"/>
      <c r="J195" s="214">
        <v>0</v>
      </c>
      <c r="K195" s="496"/>
      <c r="L195" s="496"/>
      <c r="M195" s="496"/>
      <c r="N195" s="496"/>
      <c r="O195" s="496"/>
      <c r="P195" s="496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6" t="s">
        <v>94</v>
      </c>
      <c r="F196" s="178"/>
      <c r="G196" s="179"/>
      <c r="H196" s="276" t="s">
        <v>35</v>
      </c>
      <c r="I196" s="269"/>
      <c r="J196" s="214">
        <v>0</v>
      </c>
      <c r="K196" s="496"/>
      <c r="L196" s="496"/>
      <c r="M196" s="496"/>
      <c r="N196" s="496"/>
      <c r="O196" s="496"/>
      <c r="P196" s="496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5"/>
      <c r="B197" s="263"/>
      <c r="C197" s="270" t="s">
        <v>95</v>
      </c>
      <c r="D197" s="256"/>
      <c r="E197" s="256"/>
      <c r="F197" s="256"/>
      <c r="G197" s="258"/>
      <c r="H197" s="277" t="s">
        <v>96</v>
      </c>
      <c r="I197" s="271">
        <f t="shared" ref="I197:J197" ca="1" si="98">I204</f>
        <v>2</v>
      </c>
      <c r="J197" s="271">
        <f t="shared" si="98"/>
        <v>0</v>
      </c>
      <c r="K197" s="272">
        <f ca="1">IF(I197&gt;0,J197*100/I197,0)</f>
        <v>0</v>
      </c>
      <c r="L197" s="261"/>
      <c r="M197" s="261"/>
      <c r="N197" s="261"/>
      <c r="O197" s="261"/>
      <c r="P197" s="261"/>
    </row>
    <row r="198" spans="1:26" ht="19.5">
      <c r="A198" s="147"/>
      <c r="B198" s="148"/>
      <c r="C198" s="149" t="s">
        <v>16</v>
      </c>
      <c r="D198" s="849" t="s">
        <v>17</v>
      </c>
      <c r="E198" s="148"/>
      <c r="F198" s="148"/>
      <c r="G198" s="151"/>
      <c r="H198" s="274" t="s">
        <v>12</v>
      </c>
      <c r="I198" s="418"/>
      <c r="J198" s="418"/>
      <c r="K198" s="279"/>
      <c r="L198" s="155">
        <f ca="1">L199+L200+L201+L202</f>
        <v>31000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0"/>
      <c r="C199" s="33"/>
      <c r="D199" s="281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6">
        <f ca="1">IFERROR(__xludf.DUMMYFUNCTION("IMPORTRANGE(""https://docs.google.com/spreadsheets/d/1QqKyyYR6Q21VydFLVH3TRQUabQu_ym0Zz7PgGX0-kHA/edit?usp=sharing"",""แผน!AE39"")"),2000)</f>
        <v>2000</v>
      </c>
      <c r="M199" s="496"/>
      <c r="N199" s="816">
        <v>0</v>
      </c>
      <c r="O199" s="496"/>
      <c r="P199" s="496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3"/>
      <c r="B200" s="280"/>
      <c r="C200" s="210"/>
      <c r="D200" s="281" t="s">
        <v>98</v>
      </c>
      <c r="E200" s="33"/>
      <c r="F200" s="33"/>
      <c r="G200" s="35"/>
      <c r="H200" s="616" t="s">
        <v>12</v>
      </c>
      <c r="I200" s="269"/>
      <c r="J200" s="269"/>
      <c r="K200" s="496"/>
      <c r="L200" s="496">
        <f ca="1">IFERROR(__xludf.DUMMYFUNCTION("IMPORTRANGE(""https://docs.google.com/spreadsheets/d/1QqKyyYR6Q21VydFLVH3TRQUabQu_ym0Zz7PgGX0-kHA/edit?usp=sharing"",""แผน!AF39"")"),16000)</f>
        <v>16000</v>
      </c>
      <c r="M200" s="496"/>
      <c r="N200" s="816">
        <v>0</v>
      </c>
      <c r="O200" s="496"/>
      <c r="P200" s="496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</row>
    <row r="201" spans="1:26" ht="19.5">
      <c r="A201" s="283"/>
      <c r="B201" s="280"/>
      <c r="C201" s="210"/>
      <c r="D201" s="281" t="s">
        <v>99</v>
      </c>
      <c r="E201" s="33"/>
      <c r="F201" s="33"/>
      <c r="G201" s="35"/>
      <c r="H201" s="616" t="s">
        <v>12</v>
      </c>
      <c r="I201" s="269"/>
      <c r="J201" s="269"/>
      <c r="K201" s="496"/>
      <c r="L201" s="496">
        <f ca="1">IFERROR(__xludf.DUMMYFUNCTION("IMPORTRANGE(""https://docs.google.com/spreadsheets/d/1QqKyyYR6Q21VydFLVH3TRQUabQu_ym0Zz7PgGX0-kHA/edit?usp=sharing"",""แผน!AG39"")"),8000)</f>
        <v>8000</v>
      </c>
      <c r="M201" s="496"/>
      <c r="N201" s="816">
        <v>0</v>
      </c>
      <c r="O201" s="496"/>
      <c r="P201" s="496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</row>
    <row r="202" spans="1:26" ht="19.5">
      <c r="A202" s="283"/>
      <c r="B202" s="280"/>
      <c r="C202" s="210"/>
      <c r="D202" s="281" t="s">
        <v>100</v>
      </c>
      <c r="E202" s="33"/>
      <c r="F202" s="33"/>
      <c r="G202" s="35"/>
      <c r="H202" s="616" t="s">
        <v>12</v>
      </c>
      <c r="I202" s="269"/>
      <c r="J202" s="269"/>
      <c r="K202" s="496"/>
      <c r="L202" s="496">
        <f ca="1">IFERROR(__xludf.DUMMYFUNCTION("IMPORTRANGE(""https://docs.google.com/spreadsheets/d/1QqKyyYR6Q21VydFLVH3TRQUabQu_ym0Zz7PgGX0-kHA/edit?usp=sharing"",""แผน!AH39"")"),5000)</f>
        <v>5000</v>
      </c>
      <c r="M202" s="496"/>
      <c r="N202" s="816">
        <v>0</v>
      </c>
      <c r="O202" s="496"/>
      <c r="P202" s="496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</row>
    <row r="203" spans="1:26" ht="19.5">
      <c r="A203" s="170"/>
      <c r="B203" s="171"/>
      <c r="C203" s="210" t="s">
        <v>16</v>
      </c>
      <c r="D203" s="845" t="s">
        <v>38</v>
      </c>
      <c r="E203" s="173"/>
      <c r="F203" s="173"/>
      <c r="G203" s="174"/>
      <c r="H203" s="753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3" t="s">
        <v>96</v>
      </c>
      <c r="I204" s="269">
        <f ca="1">IFERROR(__xludf.DUMMYFUNCTION("IMPORTRANGE(""https://docs.google.com/spreadsheets/d/1QqKyyYR6Q21VydFLVH3TRQUabQu_ym0Zz7PgGX0-kHA/edit?usp=sharing"",""แผน!AI39"")"),2)</f>
        <v>2</v>
      </c>
      <c r="J204" s="214">
        <v>0</v>
      </c>
      <c r="K204" s="163">
        <f ca="1">IF(I204&gt;0,J204*100/I204,0)</f>
        <v>0</v>
      </c>
      <c r="L204" s="496"/>
      <c r="M204" s="496"/>
      <c r="N204" s="496"/>
      <c r="O204" s="496"/>
      <c r="P204" s="496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6" t="s">
        <v>59</v>
      </c>
      <c r="E205" s="178"/>
      <c r="F205" s="178"/>
      <c r="G205" s="179"/>
      <c r="H205" s="753"/>
      <c r="I205" s="269"/>
      <c r="J205" s="269"/>
      <c r="K205" s="163"/>
      <c r="L205" s="496"/>
      <c r="M205" s="496"/>
      <c r="N205" s="496"/>
      <c r="O205" s="496"/>
      <c r="P205" s="496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5" t="s">
        <v>102</v>
      </c>
      <c r="F206" s="286"/>
      <c r="G206" s="287"/>
      <c r="H206" s="288" t="s">
        <v>96</v>
      </c>
      <c r="I206" s="269">
        <v>2</v>
      </c>
      <c r="J206" s="214">
        <v>0</v>
      </c>
      <c r="K206" s="163">
        <f t="shared" ref="K206:K208" si="99">IF(I206&gt;0,J206*100/I206,0)</f>
        <v>0</v>
      </c>
      <c r="L206" s="496"/>
      <c r="M206" s="496"/>
      <c r="N206" s="496"/>
      <c r="O206" s="496"/>
      <c r="P206" s="496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6"/>
      <c r="E207" s="446" t="s">
        <v>103</v>
      </c>
      <c r="F207" s="178"/>
      <c r="G207" s="178"/>
      <c r="H207" s="289" t="s">
        <v>104</v>
      </c>
      <c r="I207" s="269">
        <v>1</v>
      </c>
      <c r="J207" s="214">
        <v>0</v>
      </c>
      <c r="K207" s="163">
        <f t="shared" si="99"/>
        <v>0</v>
      </c>
      <c r="L207" s="496"/>
      <c r="M207" s="496"/>
      <c r="N207" s="496"/>
      <c r="O207" s="496"/>
      <c r="P207" s="496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5"/>
      <c r="B208" s="263"/>
      <c r="C208" s="270" t="s">
        <v>105</v>
      </c>
      <c r="D208" s="256"/>
      <c r="E208" s="256"/>
      <c r="F208" s="290"/>
      <c r="G208" s="258"/>
      <c r="H208" s="277" t="s">
        <v>96</v>
      </c>
      <c r="I208" s="271">
        <f t="shared" ref="I208:J208" ca="1" si="100">I215</f>
        <v>0</v>
      </c>
      <c r="J208" s="271">
        <f t="shared" si="100"/>
        <v>0</v>
      </c>
      <c r="K208" s="272">
        <f t="shared" ca="1" si="99"/>
        <v>0</v>
      </c>
      <c r="L208" s="261"/>
      <c r="M208" s="261"/>
      <c r="N208" s="261"/>
      <c r="O208" s="261"/>
      <c r="P208" s="261"/>
    </row>
    <row r="209" spans="1:26" ht="19.5" hidden="1">
      <c r="A209" s="147"/>
      <c r="B209" s="148"/>
      <c r="C209" s="149" t="s">
        <v>16</v>
      </c>
      <c r="D209" s="849" t="s">
        <v>17</v>
      </c>
      <c r="E209" s="148"/>
      <c r="F209" s="148"/>
      <c r="G209" s="151"/>
      <c r="H209" s="274" t="s">
        <v>12</v>
      </c>
      <c r="I209" s="418"/>
      <c r="J209" s="418"/>
      <c r="K209" s="279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0"/>
      <c r="C210" s="33"/>
      <c r="D210" s="281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6">
        <f ca="1">IFERROR(__xludf.DUMMYFUNCTION("IMPORTRANGE(""https://docs.google.com/spreadsheets/d/1QqKyyYR6Q21VydFLVH3TRQUabQu_ym0Zz7PgGX0-kHA/edit?usp=sharing"",""แผน!AK39"")"),0)</f>
        <v>0</v>
      </c>
      <c r="M210" s="496"/>
      <c r="N210" s="816">
        <v>0</v>
      </c>
      <c r="O210" s="496"/>
      <c r="P210" s="496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3"/>
      <c r="B211" s="280"/>
      <c r="C211" s="291"/>
      <c r="D211" s="281" t="s">
        <v>99</v>
      </c>
      <c r="E211" s="33"/>
      <c r="F211" s="33"/>
      <c r="G211" s="35"/>
      <c r="H211" s="161" t="s">
        <v>12</v>
      </c>
      <c r="I211" s="269"/>
      <c r="J211" s="269"/>
      <c r="K211" s="496"/>
      <c r="L211" s="496">
        <f ca="1">IFERROR(__xludf.DUMMYFUNCTION("IMPORTRANGE(""https://docs.google.com/spreadsheets/d/1QqKyyYR6Q21VydFLVH3TRQUabQu_ym0Zz7PgGX0-kHA/edit?usp=sharing"",""แผน!AL39"")"),0)</f>
        <v>0</v>
      </c>
      <c r="M211" s="496"/>
      <c r="N211" s="816">
        <v>0</v>
      </c>
      <c r="O211" s="496"/>
      <c r="P211" s="496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</row>
    <row r="212" spans="1:26" ht="19.5" hidden="1">
      <c r="A212" s="283"/>
      <c r="B212" s="280"/>
      <c r="C212" s="291"/>
      <c r="D212" s="281" t="s">
        <v>98</v>
      </c>
      <c r="E212" s="33"/>
      <c r="F212" s="33"/>
      <c r="G212" s="35"/>
      <c r="H212" s="161" t="s">
        <v>12</v>
      </c>
      <c r="I212" s="269"/>
      <c r="J212" s="269"/>
      <c r="K212" s="496"/>
      <c r="L212" s="496">
        <f ca="1">IFERROR(__xludf.DUMMYFUNCTION("IMPORTRANGE(""https://docs.google.com/spreadsheets/d/1QqKyyYR6Q21VydFLVH3TRQUabQu_ym0Zz7PgGX0-kHA/edit?usp=sharing"",""แผน!AM39"")"),0)</f>
        <v>0</v>
      </c>
      <c r="M212" s="496"/>
      <c r="N212" s="816">
        <v>0</v>
      </c>
      <c r="O212" s="496"/>
      <c r="P212" s="496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</row>
    <row r="213" spans="1:26" ht="19.5" hidden="1">
      <c r="A213" s="170"/>
      <c r="B213" s="171"/>
      <c r="C213" s="291" t="s">
        <v>16</v>
      </c>
      <c r="D213" s="845" t="s">
        <v>38</v>
      </c>
      <c r="E213" s="173"/>
      <c r="F213" s="173"/>
      <c r="G213" s="174"/>
      <c r="H213" s="753"/>
      <c r="I213" s="184"/>
      <c r="J213" s="269"/>
      <c r="K213" s="496"/>
      <c r="L213" s="496"/>
      <c r="M213" s="496"/>
      <c r="N213" s="496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3" t="s">
        <v>96</v>
      </c>
      <c r="I214" s="269">
        <f ca="1">IFERROR(__xludf.DUMMYFUNCTION("IMPORTRANGE(""https://docs.google.com/spreadsheets/d/1QqKyyYR6Q21VydFLVH3TRQUabQu_ym0Zz7PgGX0-kHA/edit?usp=sharing"",""แผน!AN39"")"),0)</f>
        <v>0</v>
      </c>
      <c r="J214" s="214">
        <v>0</v>
      </c>
      <c r="K214" s="496">
        <f t="shared" ref="K214:K216" ca="1" si="101">IF(I214&gt;0,J214*100/I214,0)</f>
        <v>0</v>
      </c>
      <c r="L214" s="496"/>
      <c r="M214" s="496"/>
      <c r="N214" s="496"/>
      <c r="O214" s="496"/>
      <c r="P214" s="496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3" t="s">
        <v>96</v>
      </c>
      <c r="I215" s="269">
        <f ca="1">IFERROR(__xludf.DUMMYFUNCTION("IMPORTRANGE(""https://docs.google.com/spreadsheets/d/1QqKyyYR6Q21VydFLVH3TRQUabQu_ym0Zz7PgGX0-kHA/edit?usp=sharing"",""แผน!AN39"")"),0)</f>
        <v>0</v>
      </c>
      <c r="J215" s="214">
        <v>0</v>
      </c>
      <c r="K215" s="496">
        <f t="shared" ca="1" si="101"/>
        <v>0</v>
      </c>
      <c r="L215" s="496"/>
      <c r="M215" s="496"/>
      <c r="N215" s="496"/>
      <c r="O215" s="496"/>
      <c r="P215" s="496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5"/>
      <c r="B216" s="263"/>
      <c r="C216" s="270" t="s">
        <v>108</v>
      </c>
      <c r="D216" s="256"/>
      <c r="E216" s="256"/>
      <c r="F216" s="290"/>
      <c r="G216" s="258"/>
      <c r="H216" s="259" t="s">
        <v>109</v>
      </c>
      <c r="I216" s="271">
        <f t="shared" ref="I216:J216" ca="1" si="102">I224</f>
        <v>50000</v>
      </c>
      <c r="J216" s="271">
        <f t="shared" si="102"/>
        <v>0</v>
      </c>
      <c r="K216" s="272">
        <f t="shared" ca="1" si="101"/>
        <v>0</v>
      </c>
      <c r="L216" s="261"/>
      <c r="M216" s="261"/>
      <c r="N216" s="261"/>
      <c r="O216" s="261"/>
      <c r="P216" s="261"/>
    </row>
    <row r="217" spans="1:26" ht="19.5">
      <c r="A217" s="147"/>
      <c r="B217" s="148"/>
      <c r="C217" s="149" t="s">
        <v>16</v>
      </c>
      <c r="D217" s="849" t="s">
        <v>17</v>
      </c>
      <c r="E217" s="148"/>
      <c r="F217" s="148"/>
      <c r="G217" s="151"/>
      <c r="H217" s="274" t="s">
        <v>12</v>
      </c>
      <c r="I217" s="418"/>
      <c r="J217" s="418"/>
      <c r="K217" s="279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0"/>
      <c r="C218" s="33"/>
      <c r="D218" s="281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6">
        <f ca="1">IFERROR(__xludf.DUMMYFUNCTION("IMPORTRANGE(""https://docs.google.com/spreadsheets/d/1QqKyyYR6Q21VydFLVH3TRQUabQu_ym0Zz7PgGX0-kHA/edit?usp=sharing"",""แผน!AP39"")"),5000)</f>
        <v>5000</v>
      </c>
      <c r="M218" s="496"/>
      <c r="N218" s="816">
        <v>0</v>
      </c>
      <c r="O218" s="496"/>
      <c r="P218" s="496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3"/>
      <c r="B219" s="280"/>
      <c r="C219" s="291"/>
      <c r="D219" s="281" t="s">
        <v>110</v>
      </c>
      <c r="E219" s="33"/>
      <c r="F219" s="33"/>
      <c r="G219" s="35"/>
      <c r="H219" s="161" t="s">
        <v>12</v>
      </c>
      <c r="I219" s="269"/>
      <c r="J219" s="269"/>
      <c r="K219" s="496"/>
      <c r="L219" s="496">
        <f ca="1">IFERROR(__xludf.DUMMYFUNCTION("IMPORTRANGE(""https://docs.google.com/spreadsheets/d/1QqKyyYR6Q21VydFLVH3TRQUabQu_ym0Zz7PgGX0-kHA/edit?usp=sharing"",""แผน!AQ39"")"),13500)</f>
        <v>13500</v>
      </c>
      <c r="M219" s="496"/>
      <c r="N219" s="816">
        <v>0</v>
      </c>
      <c r="O219" s="496"/>
      <c r="P219" s="496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</row>
    <row r="220" spans="1:26" ht="19.5">
      <c r="A220" s="283"/>
      <c r="B220" s="280"/>
      <c r="C220" s="291"/>
      <c r="D220" s="281" t="s">
        <v>98</v>
      </c>
      <c r="E220" s="33"/>
      <c r="F220" s="33"/>
      <c r="G220" s="35"/>
      <c r="H220" s="161" t="s">
        <v>12</v>
      </c>
      <c r="I220" s="269"/>
      <c r="J220" s="269"/>
      <c r="K220" s="496"/>
      <c r="L220" s="496">
        <f ca="1">IFERROR(__xludf.DUMMYFUNCTION("IMPORTRANGE(""https://docs.google.com/spreadsheets/d/1QqKyyYR6Q21VydFLVH3TRQUabQu_ym0Zz7PgGX0-kHA/edit?usp=sharing"",""แผน!AR39"")"),0)</f>
        <v>0</v>
      </c>
      <c r="M220" s="496"/>
      <c r="N220" s="816">
        <v>0</v>
      </c>
      <c r="O220" s="496"/>
      <c r="P220" s="496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</row>
    <row r="221" spans="1:26" ht="19.5">
      <c r="A221" s="170"/>
      <c r="B221" s="171"/>
      <c r="C221" s="291" t="s">
        <v>16</v>
      </c>
      <c r="D221" s="845" t="s">
        <v>38</v>
      </c>
      <c r="E221" s="173"/>
      <c r="F221" s="173"/>
      <c r="G221" s="174"/>
      <c r="H221" s="753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1" t="s">
        <v>111</v>
      </c>
      <c r="E222" s="178"/>
      <c r="F222" s="178"/>
      <c r="G222" s="179"/>
      <c r="H222" s="753"/>
      <c r="I222" s="269"/>
      <c r="J222" s="269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5" t="s">
        <v>109</v>
      </c>
      <c r="I223" s="269">
        <f ca="1">IFERROR(__xludf.DUMMYFUNCTION("IMPORTRANGE(""https://docs.google.com/spreadsheets/d/1QqKyyYR6Q21VydFLVH3TRQUabQu_ym0Zz7PgGX0-kHA/edit?usp=sharing"",""แผน!AT39"")"),50000)</f>
        <v>50000</v>
      </c>
      <c r="J223" s="214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5" t="s">
        <v>109</v>
      </c>
      <c r="I224" s="269">
        <f ca="1">IFERROR(__xludf.DUMMYFUNCTION("IMPORTRANGE(""https://docs.google.com/spreadsheets/d/1QqKyyYR6Q21VydFLVH3TRQUabQu_ym0Zz7PgGX0-kHA/edit?usp=sharing"",""แผน!AT39"")"),50000)</f>
        <v>50000</v>
      </c>
      <c r="J224" s="214">
        <v>0</v>
      </c>
      <c r="K224" s="163">
        <f t="shared" ca="1" si="103"/>
        <v>0</v>
      </c>
      <c r="L224" s="496"/>
      <c r="M224" s="496"/>
      <c r="N224" s="496"/>
      <c r="O224" s="496"/>
      <c r="P224" s="496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1" t="s">
        <v>114</v>
      </c>
      <c r="E225" s="178"/>
      <c r="F225" s="178"/>
      <c r="G225" s="179"/>
      <c r="H225" s="755" t="s">
        <v>35</v>
      </c>
      <c r="I225" s="269">
        <f ca="1">IFERROR(__xludf.DUMMYFUNCTION("IMPORTRANGE(""https://docs.google.com/spreadsheets/d/1QqKyyYR6Q21VydFLVH3TRQUabQu_ym0Zz7PgGX0-kHA/edit?usp=sharing"",""แผน!AS39"")"),0)</f>
        <v>0</v>
      </c>
      <c r="J225" s="214">
        <v>0</v>
      </c>
      <c r="K225" s="163">
        <f t="shared" ca="1" si="103"/>
        <v>0</v>
      </c>
      <c r="L225" s="496"/>
      <c r="M225" s="496"/>
      <c r="N225" s="496"/>
      <c r="O225" s="496"/>
      <c r="P225" s="496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5"/>
      <c r="B226" s="263"/>
      <c r="C226" s="341" t="s">
        <v>115</v>
      </c>
      <c r="D226" s="256"/>
      <c r="E226" s="256"/>
      <c r="F226" s="256"/>
      <c r="G226" s="258"/>
      <c r="H226" s="265" t="s">
        <v>35</v>
      </c>
      <c r="I226" s="344">
        <f t="shared" ref="I226:J226" ca="1" si="104">I237+I248</f>
        <v>0</v>
      </c>
      <c r="J226" s="344">
        <f t="shared" si="104"/>
        <v>0</v>
      </c>
      <c r="K226" s="345">
        <f t="shared" ca="1" si="103"/>
        <v>0</v>
      </c>
      <c r="L226" s="261"/>
      <c r="M226" s="261"/>
      <c r="N226" s="261"/>
      <c r="O226" s="261"/>
      <c r="P226" s="261"/>
    </row>
    <row r="227" spans="1:26" ht="19.5" hidden="1">
      <c r="A227" s="347"/>
      <c r="B227" s="348"/>
      <c r="C227" s="349" t="s">
        <v>16</v>
      </c>
      <c r="D227" s="850" t="s">
        <v>17</v>
      </c>
      <c r="E227" s="348"/>
      <c r="F227" s="348"/>
      <c r="G227" s="351"/>
      <c r="H227" s="352" t="s">
        <v>12</v>
      </c>
      <c r="I227" s="353"/>
      <c r="J227" s="353"/>
      <c r="K227" s="354"/>
      <c r="L227" s="355">
        <f t="shared" ref="L227:L231" ca="1" si="105">L238+L249</f>
        <v>0</v>
      </c>
      <c r="M227" s="355"/>
      <c r="N227" s="355">
        <f t="shared" ref="N227:N231" si="106">N238+N249</f>
        <v>0</v>
      </c>
      <c r="O227" s="851"/>
      <c r="P227" s="85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6"/>
      <c r="C228" s="40"/>
      <c r="D228" s="222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8"/>
      <c r="B229" s="356"/>
      <c r="C229" s="359"/>
      <c r="D229" s="222" t="s">
        <v>98</v>
      </c>
      <c r="E229" s="40"/>
      <c r="F229" s="40"/>
      <c r="G229" s="42"/>
      <c r="H229" s="165" t="s">
        <v>12</v>
      </c>
      <c r="I229" s="610"/>
      <c r="J229" s="610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0"/>
      <c r="R229" s="360"/>
      <c r="S229" s="360"/>
      <c r="T229" s="360"/>
      <c r="U229" s="360"/>
      <c r="V229" s="360"/>
      <c r="W229" s="360"/>
      <c r="X229" s="360"/>
      <c r="Y229" s="360"/>
      <c r="Z229" s="360"/>
    </row>
    <row r="230" spans="1:26" ht="19.5" hidden="1">
      <c r="A230" s="358"/>
      <c r="B230" s="356"/>
      <c r="C230" s="359"/>
      <c r="D230" s="222" t="s">
        <v>116</v>
      </c>
      <c r="E230" s="40"/>
      <c r="F230" s="40"/>
      <c r="G230" s="42"/>
      <c r="H230" s="165" t="s">
        <v>12</v>
      </c>
      <c r="I230" s="610"/>
      <c r="J230" s="610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0"/>
      <c r="R230" s="360"/>
      <c r="S230" s="360"/>
      <c r="T230" s="360"/>
      <c r="U230" s="360"/>
      <c r="V230" s="360"/>
      <c r="W230" s="360"/>
      <c r="X230" s="360"/>
      <c r="Y230" s="360"/>
      <c r="Z230" s="360"/>
    </row>
    <row r="231" spans="1:26" ht="19.5" hidden="1">
      <c r="A231" s="358"/>
      <c r="B231" s="356"/>
      <c r="C231" s="359"/>
      <c r="D231" s="222" t="s">
        <v>100</v>
      </c>
      <c r="E231" s="40"/>
      <c r="F231" s="40"/>
      <c r="G231" s="42"/>
      <c r="H231" s="165" t="s">
        <v>12</v>
      </c>
      <c r="I231" s="610"/>
      <c r="J231" s="610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0"/>
      <c r="R231" s="360"/>
      <c r="S231" s="360"/>
      <c r="T231" s="360"/>
      <c r="U231" s="360"/>
      <c r="V231" s="360"/>
      <c r="W231" s="360"/>
      <c r="X231" s="360"/>
      <c r="Y231" s="360"/>
      <c r="Z231" s="360"/>
    </row>
    <row r="232" spans="1:26" ht="19.5" hidden="1">
      <c r="A232" s="361"/>
      <c r="B232" s="362"/>
      <c r="C232" s="359" t="s">
        <v>16</v>
      </c>
      <c r="D232" s="266" t="s">
        <v>38</v>
      </c>
      <c r="E232" s="363"/>
      <c r="F232" s="363"/>
      <c r="G232" s="364"/>
      <c r="H232" s="365"/>
      <c r="I232" s="166"/>
      <c r="J232" s="610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1"/>
      <c r="B233" s="362"/>
      <c r="C233" s="362"/>
      <c r="D233" s="366" t="s">
        <v>117</v>
      </c>
      <c r="E233" s="372"/>
      <c r="F233" s="372"/>
      <c r="G233" s="368"/>
      <c r="H233" s="369" t="s">
        <v>35</v>
      </c>
      <c r="I233" s="610">
        <f t="shared" ref="I233:J233" ca="1" si="107">I244+I255</f>
        <v>0</v>
      </c>
      <c r="J233" s="610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1"/>
      <c r="B234" s="362"/>
      <c r="C234" s="362"/>
      <c r="D234" s="371" t="s">
        <v>43</v>
      </c>
      <c r="E234" s="372"/>
      <c r="F234" s="372"/>
      <c r="G234" s="368"/>
      <c r="H234" s="369"/>
      <c r="I234" s="610"/>
      <c r="J234" s="610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1"/>
      <c r="B235" s="362"/>
      <c r="C235" s="362"/>
      <c r="D235" s="362"/>
      <c r="E235" s="373" t="s">
        <v>118</v>
      </c>
      <c r="F235" s="372"/>
      <c r="G235" s="368"/>
      <c r="H235" s="369" t="s">
        <v>35</v>
      </c>
      <c r="I235" s="610">
        <f t="shared" ref="I235:J236" si="108">I246+I257</f>
        <v>0</v>
      </c>
      <c r="J235" s="610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1"/>
      <c r="B236" s="362"/>
      <c r="C236" s="362"/>
      <c r="D236" s="362"/>
      <c r="E236" s="373" t="s">
        <v>119</v>
      </c>
      <c r="F236" s="372"/>
      <c r="G236" s="368"/>
      <c r="H236" s="369" t="s">
        <v>69</v>
      </c>
      <c r="I236" s="610">
        <f t="shared" si="108"/>
        <v>0</v>
      </c>
      <c r="J236" s="610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5"/>
      <c r="B237" s="263"/>
      <c r="C237" s="270" t="s">
        <v>330</v>
      </c>
      <c r="D237" s="256"/>
      <c r="E237" s="256"/>
      <c r="F237" s="256"/>
      <c r="G237" s="258"/>
      <c r="H237" s="259" t="s">
        <v>35</v>
      </c>
      <c r="I237" s="271">
        <f t="shared" ref="I237:J237" ca="1" si="110">I244</f>
        <v>0</v>
      </c>
      <c r="J237" s="271">
        <f t="shared" si="110"/>
        <v>0</v>
      </c>
      <c r="K237" s="272">
        <f t="shared" ca="1" si="109"/>
        <v>0</v>
      </c>
      <c r="L237" s="261"/>
      <c r="M237" s="261"/>
      <c r="N237" s="261"/>
      <c r="O237" s="261"/>
      <c r="P237" s="261"/>
    </row>
    <row r="238" spans="1:26" ht="19.5" hidden="1">
      <c r="A238" s="147"/>
      <c r="B238" s="148"/>
      <c r="C238" s="149" t="s">
        <v>16</v>
      </c>
      <c r="D238" s="844" t="s">
        <v>17</v>
      </c>
      <c r="E238" s="148"/>
      <c r="F238" s="148"/>
      <c r="G238" s="151"/>
      <c r="H238" s="274" t="s">
        <v>12</v>
      </c>
      <c r="I238" s="418"/>
      <c r="J238" s="418"/>
      <c r="K238" s="279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3"/>
      <c r="B239" s="314"/>
      <c r="C239" s="315"/>
      <c r="D239" s="324" t="s">
        <v>97</v>
      </c>
      <c r="E239" s="315"/>
      <c r="F239" s="315"/>
      <c r="G239" s="317"/>
      <c r="H239" s="318" t="s">
        <v>12</v>
      </c>
      <c r="I239" s="319"/>
      <c r="J239" s="319"/>
      <c r="K239" s="320"/>
      <c r="L239" s="321">
        <f ca="1">IFERROR(__xludf.DUMMYFUNCTION("IMPORTRANGE(""https://docs.google.com/spreadsheets/d/1QqKyyYR6Q21VydFLVH3TRQUabQu_ym0Zz7PgGX0-kHA/edit?usp=sharing"",""แผน!AV39"")"),0)</f>
        <v>0</v>
      </c>
      <c r="M239" s="321"/>
      <c r="N239" s="852">
        <v>0</v>
      </c>
      <c r="O239" s="321"/>
      <c r="P239" s="321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</row>
    <row r="240" spans="1:26" ht="19.5" hidden="1">
      <c r="A240" s="322"/>
      <c r="B240" s="314"/>
      <c r="C240" s="323"/>
      <c r="D240" s="324" t="s">
        <v>98</v>
      </c>
      <c r="E240" s="315"/>
      <c r="F240" s="315"/>
      <c r="G240" s="317"/>
      <c r="H240" s="318" t="s">
        <v>12</v>
      </c>
      <c r="I240" s="325"/>
      <c r="J240" s="325"/>
      <c r="K240" s="321"/>
      <c r="L240" s="321">
        <f ca="1">IFERROR(__xludf.DUMMYFUNCTION("IMPORTRANGE(""https://docs.google.com/spreadsheets/d/1QqKyyYR6Q21VydFLVH3TRQUabQu_ym0Zz7PgGX0-kHA/edit?usp=sharing"",""แผน!AW39"")"),0)</f>
        <v>0</v>
      </c>
      <c r="M240" s="321"/>
      <c r="N240" s="852">
        <v>0</v>
      </c>
      <c r="O240" s="321"/>
      <c r="P240" s="321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</row>
    <row r="241" spans="1:26" ht="19.5" hidden="1">
      <c r="A241" s="322"/>
      <c r="B241" s="314"/>
      <c r="C241" s="323"/>
      <c r="D241" s="324" t="s">
        <v>116</v>
      </c>
      <c r="E241" s="315"/>
      <c r="F241" s="315"/>
      <c r="G241" s="317"/>
      <c r="H241" s="318" t="s">
        <v>12</v>
      </c>
      <c r="I241" s="325"/>
      <c r="J241" s="325"/>
      <c r="K241" s="321"/>
      <c r="L241" s="321">
        <f ca="1">IFERROR(__xludf.DUMMYFUNCTION("IMPORTRANGE(""https://docs.google.com/spreadsheets/d/1QqKyyYR6Q21VydFLVH3TRQUabQu_ym0Zz7PgGX0-kHA/edit?usp=sharing"",""แผน!AX39"")"),0)</f>
        <v>0</v>
      </c>
      <c r="M241" s="321"/>
      <c r="N241" s="852">
        <v>0</v>
      </c>
      <c r="O241" s="321"/>
      <c r="P241" s="321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</row>
    <row r="242" spans="1:26" ht="19.5" hidden="1">
      <c r="A242" s="322"/>
      <c r="B242" s="314"/>
      <c r="C242" s="323"/>
      <c r="D242" s="324" t="s">
        <v>100</v>
      </c>
      <c r="E242" s="315"/>
      <c r="F242" s="315"/>
      <c r="G242" s="317"/>
      <c r="H242" s="318" t="s">
        <v>12</v>
      </c>
      <c r="I242" s="325"/>
      <c r="J242" s="325"/>
      <c r="K242" s="321"/>
      <c r="L242" s="321">
        <f ca="1">IFERROR(__xludf.DUMMYFUNCTION("IMPORTRANGE(""https://docs.google.com/spreadsheets/d/1QqKyyYR6Q21VydFLVH3TRQUabQu_ym0Zz7PgGX0-kHA/edit?usp=sharing"",""แผน!AY39"")"),0)</f>
        <v>0</v>
      </c>
      <c r="M242" s="321"/>
      <c r="N242" s="852">
        <v>0</v>
      </c>
      <c r="O242" s="321"/>
      <c r="P242" s="321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</row>
    <row r="243" spans="1:26" ht="19.5" hidden="1">
      <c r="A243" s="170"/>
      <c r="B243" s="171"/>
      <c r="C243" s="291" t="s">
        <v>16</v>
      </c>
      <c r="D243" s="845" t="s">
        <v>38</v>
      </c>
      <c r="E243" s="173"/>
      <c r="F243" s="173"/>
      <c r="G243" s="174"/>
      <c r="H243" s="753"/>
      <c r="I243" s="184"/>
      <c r="J243" s="269"/>
      <c r="K243" s="496"/>
      <c r="L243" s="496"/>
      <c r="M243" s="496"/>
      <c r="N243" s="496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6" t="s">
        <v>117</v>
      </c>
      <c r="E244" s="178"/>
      <c r="F244" s="178"/>
      <c r="G244" s="179"/>
      <c r="H244" s="755" t="s">
        <v>35</v>
      </c>
      <c r="I244" s="269">
        <f ca="1">IFERROR(__xludf.DUMMYFUNCTION("IMPORTRANGE(""https://docs.google.com/spreadsheets/d/1QqKyyYR6Q21VydFLVH3TRQUabQu_ym0Zz7PgGX0-kHA/edit?usp=sharing"",""แผน!BE39"")"),0)</f>
        <v>0</v>
      </c>
      <c r="J244" s="214">
        <v>0</v>
      </c>
      <c r="K244" s="496">
        <f ca="1">IF(I244&gt;0,J244*100/I244,0)</f>
        <v>0</v>
      </c>
      <c r="L244" s="496"/>
      <c r="M244" s="496"/>
      <c r="N244" s="496"/>
      <c r="O244" s="496"/>
      <c r="P244" s="496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3" t="s">
        <v>43</v>
      </c>
      <c r="E245" s="178"/>
      <c r="F245" s="178"/>
      <c r="G245" s="179"/>
      <c r="H245" s="755"/>
      <c r="I245" s="269"/>
      <c r="J245" s="269"/>
      <c r="K245" s="496"/>
      <c r="L245" s="496"/>
      <c r="M245" s="496"/>
      <c r="N245" s="496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5" t="s">
        <v>35</v>
      </c>
      <c r="I246" s="269"/>
      <c r="J246" s="214">
        <v>0</v>
      </c>
      <c r="K246" s="496">
        <f t="shared" ref="K246:K248" si="111">IF(I246&gt;0,J246*100/I246,0)</f>
        <v>0</v>
      </c>
      <c r="L246" s="496"/>
      <c r="M246" s="496"/>
      <c r="N246" s="496"/>
      <c r="O246" s="496"/>
      <c r="P246" s="496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5" t="s">
        <v>69</v>
      </c>
      <c r="I247" s="269"/>
      <c r="J247" s="214">
        <v>0</v>
      </c>
      <c r="K247" s="496">
        <f t="shared" si="111"/>
        <v>0</v>
      </c>
      <c r="L247" s="496"/>
      <c r="M247" s="496"/>
      <c r="N247" s="496"/>
      <c r="O247" s="496"/>
      <c r="P247" s="496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5"/>
      <c r="B248" s="263"/>
      <c r="C248" s="270" t="s">
        <v>331</v>
      </c>
      <c r="D248" s="256"/>
      <c r="E248" s="256"/>
      <c r="F248" s="256"/>
      <c r="G248" s="258"/>
      <c r="H248" s="259" t="s">
        <v>35</v>
      </c>
      <c r="I248" s="271">
        <f t="shared" ref="I248:J248" ca="1" si="112">I255</f>
        <v>0</v>
      </c>
      <c r="J248" s="271">
        <f t="shared" si="112"/>
        <v>0</v>
      </c>
      <c r="K248" s="272">
        <f t="shared" ca="1" si="111"/>
        <v>0</v>
      </c>
      <c r="L248" s="261"/>
      <c r="M248" s="261"/>
      <c r="N248" s="261"/>
      <c r="O248" s="261"/>
      <c r="P248" s="261"/>
    </row>
    <row r="249" spans="1:26" ht="19.5" hidden="1">
      <c r="A249" s="147"/>
      <c r="B249" s="148"/>
      <c r="C249" s="149" t="s">
        <v>16</v>
      </c>
      <c r="D249" s="849" t="s">
        <v>17</v>
      </c>
      <c r="E249" s="148"/>
      <c r="F249" s="148"/>
      <c r="G249" s="151"/>
      <c r="H249" s="274" t="s">
        <v>12</v>
      </c>
      <c r="I249" s="418"/>
      <c r="J249" s="418"/>
      <c r="K249" s="279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3"/>
      <c r="B250" s="314"/>
      <c r="C250" s="315"/>
      <c r="D250" s="324" t="s">
        <v>97</v>
      </c>
      <c r="E250" s="315"/>
      <c r="F250" s="315"/>
      <c r="G250" s="317"/>
      <c r="H250" s="318" t="s">
        <v>12</v>
      </c>
      <c r="I250" s="319"/>
      <c r="J250" s="319"/>
      <c r="K250" s="320"/>
      <c r="L250" s="321">
        <f ca="1">IFERROR(__xludf.DUMMYFUNCTION("IMPORTRANGE(""https://docs.google.com/spreadsheets/d/1QqKyyYR6Q21VydFLVH3TRQUabQu_ym0Zz7PgGX0-kHA/edit?usp=sharing"",""แผน!AZ39"")"),0)</f>
        <v>0</v>
      </c>
      <c r="M250" s="321"/>
      <c r="N250" s="852">
        <v>0</v>
      </c>
      <c r="O250" s="321"/>
      <c r="P250" s="321"/>
      <c r="Q250" s="312"/>
      <c r="R250" s="312"/>
      <c r="S250" s="312"/>
      <c r="T250" s="312"/>
      <c r="U250" s="312"/>
      <c r="V250" s="312"/>
      <c r="W250" s="312"/>
      <c r="X250" s="312"/>
      <c r="Y250" s="312"/>
      <c r="Z250" s="312"/>
    </row>
    <row r="251" spans="1:26" ht="19.5" hidden="1">
      <c r="A251" s="322"/>
      <c r="B251" s="314"/>
      <c r="C251" s="323"/>
      <c r="D251" s="324" t="s">
        <v>98</v>
      </c>
      <c r="E251" s="315"/>
      <c r="F251" s="315"/>
      <c r="G251" s="317"/>
      <c r="H251" s="318" t="s">
        <v>12</v>
      </c>
      <c r="I251" s="325"/>
      <c r="J251" s="325"/>
      <c r="K251" s="321"/>
      <c r="L251" s="321">
        <f ca="1">IFERROR(__xludf.DUMMYFUNCTION("IMPORTRANGE(""https://docs.google.com/spreadsheets/d/1QqKyyYR6Q21VydFLVH3TRQUabQu_ym0Zz7PgGX0-kHA/edit?usp=sharing"",""แผน!BA39"")"),0)</f>
        <v>0</v>
      </c>
      <c r="M251" s="321"/>
      <c r="N251" s="852">
        <v>0</v>
      </c>
      <c r="O251" s="321"/>
      <c r="P251" s="321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</row>
    <row r="252" spans="1:26" ht="19.5" hidden="1">
      <c r="A252" s="322"/>
      <c r="B252" s="314"/>
      <c r="C252" s="323"/>
      <c r="D252" s="324" t="s">
        <v>116</v>
      </c>
      <c r="E252" s="315"/>
      <c r="F252" s="315"/>
      <c r="G252" s="317"/>
      <c r="H252" s="318" t="s">
        <v>12</v>
      </c>
      <c r="I252" s="325"/>
      <c r="J252" s="325"/>
      <c r="K252" s="321"/>
      <c r="L252" s="321">
        <f ca="1">IFERROR(__xludf.DUMMYFUNCTION("IMPORTRANGE(""https://docs.google.com/spreadsheets/d/1QqKyyYR6Q21VydFLVH3TRQUabQu_ym0Zz7PgGX0-kHA/edit?usp=sharing"",""แผน!BB39"")"),0)</f>
        <v>0</v>
      </c>
      <c r="M252" s="321"/>
      <c r="N252" s="852">
        <v>0</v>
      </c>
      <c r="O252" s="321"/>
      <c r="P252" s="321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</row>
    <row r="253" spans="1:26" ht="19.5" hidden="1">
      <c r="A253" s="322"/>
      <c r="B253" s="314"/>
      <c r="C253" s="323"/>
      <c r="D253" s="324" t="s">
        <v>100</v>
      </c>
      <c r="E253" s="315"/>
      <c r="F253" s="315"/>
      <c r="G253" s="317"/>
      <c r="H253" s="318" t="s">
        <v>12</v>
      </c>
      <c r="I253" s="325"/>
      <c r="J253" s="325"/>
      <c r="K253" s="321"/>
      <c r="L253" s="321">
        <f ca="1">IFERROR(__xludf.DUMMYFUNCTION("IMPORTRANGE(""https://docs.google.com/spreadsheets/d/1QqKyyYR6Q21VydFLVH3TRQUabQu_ym0Zz7PgGX0-kHA/edit?usp=sharing"",""แผน!BC39"")"),0)</f>
        <v>0</v>
      </c>
      <c r="M253" s="321"/>
      <c r="N253" s="852">
        <v>0</v>
      </c>
      <c r="O253" s="321"/>
      <c r="P253" s="321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</row>
    <row r="254" spans="1:26" ht="19.5" hidden="1">
      <c r="A254" s="170"/>
      <c r="B254" s="171"/>
      <c r="C254" s="291" t="s">
        <v>16</v>
      </c>
      <c r="D254" s="845" t="s">
        <v>38</v>
      </c>
      <c r="E254" s="173"/>
      <c r="F254" s="173"/>
      <c r="G254" s="174"/>
      <c r="H254" s="753"/>
      <c r="I254" s="184"/>
      <c r="J254" s="269"/>
      <c r="K254" s="496"/>
      <c r="L254" s="496"/>
      <c r="M254" s="496"/>
      <c r="N254" s="496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6" t="s">
        <v>117</v>
      </c>
      <c r="E255" s="178"/>
      <c r="F255" s="178"/>
      <c r="G255" s="179"/>
      <c r="H255" s="755" t="s">
        <v>35</v>
      </c>
      <c r="I255" s="269">
        <f ca="1">IFERROR(__xludf.DUMMYFUNCTION("IMPORTRANGE(""https://docs.google.com/spreadsheets/d/1QqKyyYR6Q21VydFLVH3TRQUabQu_ym0Zz7PgGX0-kHA/edit?usp=sharing"",""แผน!BF39"")"),0)</f>
        <v>0</v>
      </c>
      <c r="J255" s="214">
        <v>0</v>
      </c>
      <c r="K255" s="496">
        <f ca="1">IF(I255&gt;0,J255*100/I255,0)</f>
        <v>0</v>
      </c>
      <c r="L255" s="496"/>
      <c r="M255" s="496"/>
      <c r="N255" s="496"/>
      <c r="O255" s="496"/>
      <c r="P255" s="496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3" t="s">
        <v>43</v>
      </c>
      <c r="E256" s="178"/>
      <c r="F256" s="178"/>
      <c r="G256" s="179"/>
      <c r="H256" s="755"/>
      <c r="I256" s="269"/>
      <c r="J256" s="269"/>
      <c r="K256" s="496"/>
      <c r="L256" s="496"/>
      <c r="M256" s="496"/>
      <c r="N256" s="496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5" t="s">
        <v>35</v>
      </c>
      <c r="I257" s="269"/>
      <c r="J257" s="214">
        <v>0</v>
      </c>
      <c r="K257" s="496">
        <f t="shared" ref="K257:K258" si="113">IF(I257&gt;0,J257*100/I257,0)</f>
        <v>0</v>
      </c>
      <c r="L257" s="496"/>
      <c r="M257" s="496"/>
      <c r="N257" s="496"/>
      <c r="O257" s="496"/>
      <c r="P257" s="496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5" t="s">
        <v>69</v>
      </c>
      <c r="I258" s="269"/>
      <c r="J258" s="214">
        <v>0</v>
      </c>
      <c r="K258" s="496">
        <f t="shared" si="113"/>
        <v>0</v>
      </c>
      <c r="L258" s="496"/>
      <c r="M258" s="496"/>
      <c r="N258" s="496"/>
      <c r="O258" s="496"/>
      <c r="P258" s="496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1" t="s">
        <v>122</v>
      </c>
      <c r="B259" s="242"/>
      <c r="C259" s="242"/>
      <c r="D259" s="243"/>
      <c r="E259" s="243"/>
      <c r="F259" s="243"/>
      <c r="G259" s="244"/>
      <c r="H259" s="245"/>
      <c r="I259" s="246"/>
      <c r="J259" s="246"/>
      <c r="K259" s="247"/>
      <c r="L259" s="247"/>
      <c r="M259" s="247"/>
      <c r="N259" s="247"/>
      <c r="O259" s="247"/>
      <c r="P259" s="247"/>
    </row>
    <row r="260" spans="1:26" ht="19.5">
      <c r="A260" s="248"/>
      <c r="B260" s="249" t="s">
        <v>123</v>
      </c>
      <c r="C260" s="250"/>
      <c r="D260" s="173"/>
      <c r="E260" s="173"/>
      <c r="F260" s="173"/>
      <c r="G260" s="174"/>
      <c r="H260" s="251" t="s">
        <v>35</v>
      </c>
      <c r="I260" s="252">
        <f t="shared" ref="I260:J260" ca="1" si="114">I271</f>
        <v>22</v>
      </c>
      <c r="J260" s="252">
        <f t="shared" si="114"/>
        <v>0</v>
      </c>
      <c r="K260" s="253">
        <f ca="1">IF(I260&gt;0,J260*100/I260,0)</f>
        <v>0</v>
      </c>
      <c r="L260" s="254"/>
      <c r="M260" s="254"/>
      <c r="N260" s="254"/>
      <c r="O260" s="254"/>
      <c r="P260" s="254"/>
    </row>
    <row r="261" spans="1:26" ht="19.5">
      <c r="A261" s="147"/>
      <c r="B261" s="148"/>
      <c r="C261" s="149" t="s">
        <v>16</v>
      </c>
      <c r="D261" s="844" t="s">
        <v>17</v>
      </c>
      <c r="E261" s="148"/>
      <c r="F261" s="148"/>
      <c r="G261" s="151"/>
      <c r="H261" s="152" t="s">
        <v>12</v>
      </c>
      <c r="I261" s="419"/>
      <c r="J261" s="419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2" t="s">
        <v>18</v>
      </c>
      <c r="F262" s="40"/>
      <c r="G262" s="157"/>
      <c r="H262" s="158" t="s">
        <v>12</v>
      </c>
      <c r="I262" s="610"/>
      <c r="J262" s="610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2" t="s">
        <v>19</v>
      </c>
      <c r="F263" s="40"/>
      <c r="G263" s="157"/>
      <c r="H263" s="158" t="s">
        <v>12</v>
      </c>
      <c r="I263" s="610"/>
      <c r="J263" s="610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1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6">
        <f t="shared" ref="L264:N264" ca="1" si="119">L265+L266</f>
        <v>26900</v>
      </c>
      <c r="M264" s="496">
        <f t="shared" ca="1" si="119"/>
        <v>23900</v>
      </c>
      <c r="N264" s="496">
        <f t="shared" ca="1" si="119"/>
        <v>0</v>
      </c>
      <c r="O264" s="496">
        <f t="shared" ca="1" si="116"/>
        <v>0</v>
      </c>
      <c r="P264" s="496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2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2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IFERROR(__xludf.DUMMYFUNCTION("IMPORTRANGE(""https://docs.google.com/spreadsheets/d/1MeEWN-I1oV_STSDYn1IFDPWt_1FKiwhDph83XaGc0o0/edit?usp=sharing"",""งบพรบ!DD39"")"),23900)</f>
        <v>23900</v>
      </c>
      <c r="N266" s="93">
        <f ca="1">IFERROR(__xludf.DUMMYFUNCTION("IMPORTRANGE(""https://docs.google.com/spreadsheets/d/1MeEWN-I1oV_STSDYn1IFDPWt_1FKiwhDph83XaGc0o0/edit?usp=sharing"",""งบพรบ!DF39"")"),0)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1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6">
        <f t="shared" ref="L267:N267" ca="1" si="120">L268+L269</f>
        <v>0</v>
      </c>
      <c r="M267" s="496">
        <f t="shared" ca="1" si="120"/>
        <v>0</v>
      </c>
      <c r="N267" s="496">
        <f t="shared" ca="1" si="120"/>
        <v>0</v>
      </c>
      <c r="O267" s="496">
        <f t="shared" ca="1" si="116"/>
        <v>0</v>
      </c>
      <c r="P267" s="496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2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2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1" t="s">
        <v>16</v>
      </c>
      <c r="D270" s="845" t="s">
        <v>38</v>
      </c>
      <c r="E270" s="173"/>
      <c r="F270" s="173"/>
      <c r="G270" s="174"/>
      <c r="H270" s="753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5" t="s">
        <v>124</v>
      </c>
      <c r="E271" s="178"/>
      <c r="F271" s="366"/>
      <c r="G271" s="179"/>
      <c r="H271" s="376" t="s">
        <v>35</v>
      </c>
      <c r="I271" s="269">
        <f ca="1">IFERROR(__xludf.DUMMYFUNCTION("IMPORTRANGE(""https://docs.google.com/spreadsheets/d/1QqKyyYR6Q21VydFLVH3TRQUabQu_ym0Zz7PgGX0-kHA/edit?usp=sharing"",""แผน!EA39"")"),22)</f>
        <v>22</v>
      </c>
      <c r="J271" s="214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7"/>
      <c r="B272" s="378"/>
      <c r="C272" s="378"/>
      <c r="D272" s="379" t="s">
        <v>125</v>
      </c>
      <c r="E272" s="380"/>
      <c r="F272" s="380"/>
      <c r="G272" s="381"/>
      <c r="H272" s="50" t="s">
        <v>35</v>
      </c>
      <c r="I272" s="499">
        <v>0</v>
      </c>
      <c r="J272" s="499">
        <v>0</v>
      </c>
      <c r="K272" s="384">
        <v>0</v>
      </c>
      <c r="L272" s="384"/>
      <c r="M272" s="384"/>
      <c r="N272" s="384"/>
      <c r="O272" s="384"/>
      <c r="P272" s="384"/>
    </row>
    <row r="273" spans="1:26" ht="19.5" hidden="1">
      <c r="A273" s="385" t="s">
        <v>126</v>
      </c>
      <c r="B273" s="386"/>
      <c r="C273" s="386"/>
      <c r="D273" s="386"/>
      <c r="E273" s="387"/>
      <c r="F273" s="387"/>
      <c r="G273" s="388"/>
      <c r="H273" s="389"/>
      <c r="I273" s="390"/>
      <c r="J273" s="390"/>
      <c r="K273" s="391"/>
      <c r="L273" s="391"/>
      <c r="M273" s="391"/>
      <c r="N273" s="391"/>
      <c r="O273" s="391"/>
      <c r="P273" s="391"/>
    </row>
    <row r="274" spans="1:26" ht="19.5" hidden="1">
      <c r="A274" s="392" t="s">
        <v>127</v>
      </c>
      <c r="B274" s="393"/>
      <c r="C274" s="394"/>
      <c r="D274" s="393"/>
      <c r="E274" s="393"/>
      <c r="F274" s="393"/>
      <c r="G274" s="393"/>
      <c r="H274" s="395"/>
      <c r="I274" s="396"/>
      <c r="J274" s="397"/>
      <c r="K274" s="398"/>
      <c r="L274" s="398"/>
      <c r="M274" s="398"/>
      <c r="N274" s="398"/>
      <c r="O274" s="398"/>
      <c r="P274" s="398"/>
    </row>
    <row r="275" spans="1:26" ht="19.5" hidden="1">
      <c r="A275" s="399"/>
      <c r="B275" s="408" t="s">
        <v>128</v>
      </c>
      <c r="C275" s="401"/>
      <c r="D275" s="402"/>
      <c r="E275" s="401"/>
      <c r="F275" s="401"/>
      <c r="G275" s="403"/>
      <c r="H275" s="404" t="s">
        <v>35</v>
      </c>
      <c r="I275" s="405">
        <f t="shared" ref="I275:J275" ca="1" si="121">I288</f>
        <v>0</v>
      </c>
      <c r="J275" s="405">
        <f t="shared" ca="1" si="121"/>
        <v>0</v>
      </c>
      <c r="K275" s="406">
        <f t="shared" ref="K275:K276" ca="1" si="122">IF(I275&gt;0,J275*100/I275,0)</f>
        <v>0</v>
      </c>
      <c r="L275" s="407"/>
      <c r="M275" s="407"/>
      <c r="N275" s="407"/>
      <c r="O275" s="407"/>
      <c r="P275" s="407"/>
    </row>
    <row r="276" spans="1:26" ht="19.5" hidden="1">
      <c r="A276" s="399"/>
      <c r="B276" s="408"/>
      <c r="C276" s="401"/>
      <c r="D276" s="402"/>
      <c r="E276" s="401"/>
      <c r="F276" s="401"/>
      <c r="G276" s="403"/>
      <c r="H276" s="404" t="s">
        <v>46</v>
      </c>
      <c r="I276" s="854">
        <f t="shared" ref="I276:J276" ca="1" si="123">I287</f>
        <v>0</v>
      </c>
      <c r="J276" s="854">
        <f t="shared" si="123"/>
        <v>0</v>
      </c>
      <c r="K276" s="407">
        <f t="shared" ca="1" si="122"/>
        <v>0</v>
      </c>
      <c r="L276" s="407"/>
      <c r="M276" s="407"/>
      <c r="N276" s="407"/>
      <c r="O276" s="407"/>
      <c r="P276" s="407"/>
    </row>
    <row r="277" spans="1:26" ht="19.5" hidden="1">
      <c r="A277" s="147"/>
      <c r="B277" s="148"/>
      <c r="C277" s="149" t="s">
        <v>16</v>
      </c>
      <c r="D277" s="844" t="s">
        <v>17</v>
      </c>
      <c r="E277" s="148"/>
      <c r="F277" s="148"/>
      <c r="G277" s="151"/>
      <c r="H277" s="152" t="s">
        <v>12</v>
      </c>
      <c r="I277" s="419"/>
      <c r="J277" s="419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2" t="s">
        <v>18</v>
      </c>
      <c r="F278" s="40"/>
      <c r="G278" s="157"/>
      <c r="H278" s="158" t="s">
        <v>12</v>
      </c>
      <c r="I278" s="610"/>
      <c r="J278" s="610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2" t="s">
        <v>19</v>
      </c>
      <c r="F279" s="40"/>
      <c r="G279" s="157"/>
      <c r="H279" s="158" t="s">
        <v>12</v>
      </c>
      <c r="I279" s="610"/>
      <c r="J279" s="610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1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6">
        <f t="shared" ref="L280:N280" ca="1" si="128">L281+L282</f>
        <v>0</v>
      </c>
      <c r="M280" s="496">
        <f t="shared" ca="1" si="128"/>
        <v>0</v>
      </c>
      <c r="N280" s="496">
        <f t="shared" ca="1" si="128"/>
        <v>0</v>
      </c>
      <c r="O280" s="496">
        <f t="shared" ca="1" si="125"/>
        <v>0</v>
      </c>
      <c r="P280" s="496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2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2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1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6">
        <f t="shared" ref="L283:N283" ca="1" si="129">L284+L285</f>
        <v>0</v>
      </c>
      <c r="M283" s="496">
        <f t="shared" ca="1" si="129"/>
        <v>0</v>
      </c>
      <c r="N283" s="496">
        <f t="shared" ca="1" si="129"/>
        <v>0</v>
      </c>
      <c r="O283" s="496">
        <f t="shared" ca="1" si="125"/>
        <v>0</v>
      </c>
      <c r="P283" s="496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2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2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5" t="s">
        <v>38</v>
      </c>
      <c r="E286" s="173"/>
      <c r="F286" s="173"/>
      <c r="G286" s="174"/>
      <c r="H286" s="753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19" t="s">
        <v>129</v>
      </c>
      <c r="E287" s="171"/>
      <c r="F287" s="178"/>
      <c r="G287" s="179"/>
      <c r="H287" s="185" t="s">
        <v>46</v>
      </c>
      <c r="I287" s="269">
        <f ca="1">IFERROR(__xludf.DUMMYFUNCTION("IMPORTRANGE(""https://docs.google.com/spreadsheets/d/1QqKyyYR6Q21VydFLVH3TRQUabQu_ym0Zz7PgGX0-kHA/edit?usp=sharing"",""แผน!EC39"")"),0)</f>
        <v>0</v>
      </c>
      <c r="J287" s="269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19" t="s">
        <v>130</v>
      </c>
      <c r="E288" s="171"/>
      <c r="F288" s="178"/>
      <c r="G288" s="179"/>
      <c r="H288" s="180" t="s">
        <v>35</v>
      </c>
      <c r="I288" s="674">
        <f ca="1">IFERROR(__xludf.DUMMYFUNCTION("IMPORTRANGE(""https://docs.google.com/spreadsheets/d/1QqKyyYR6Q21VydFLVH3TRQUabQu_ym0Zz7PgGX0-kHA/edit?usp=sharing"",""แผน!EB39"")"),0)</f>
        <v>0</v>
      </c>
      <c r="J288" s="674">
        <f ca="1">IF(AND(J291&gt;=I288,J294&gt;=I288),J294,0)</f>
        <v>0</v>
      </c>
      <c r="K288" s="410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1"/>
      <c r="E289" s="412" t="s">
        <v>131</v>
      </c>
      <c r="F289" s="178"/>
      <c r="G289" s="179"/>
      <c r="H289" s="755"/>
      <c r="I289" s="184"/>
      <c r="J289" s="269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1"/>
      <c r="E290" s="619" t="s">
        <v>132</v>
      </c>
      <c r="F290" s="178"/>
      <c r="G290" s="179"/>
      <c r="H290" s="755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4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19" t="s">
        <v>343</v>
      </c>
      <c r="F291" s="178"/>
      <c r="G291" s="179"/>
      <c r="H291" s="755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4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3"/>
      <c r="B292" s="414"/>
      <c r="C292" s="414"/>
      <c r="D292" s="415"/>
      <c r="E292" s="416" t="s">
        <v>134</v>
      </c>
      <c r="F292" s="286"/>
      <c r="G292" s="287"/>
      <c r="H292" s="417"/>
      <c r="I292" s="418"/>
      <c r="J292" s="419"/>
      <c r="K292" s="279"/>
      <c r="L292" s="279"/>
      <c r="M292" s="279"/>
      <c r="N292" s="279"/>
      <c r="O292" s="279"/>
      <c r="P292" s="279"/>
    </row>
    <row r="293" spans="1:26" ht="19.5" hidden="1">
      <c r="A293" s="170"/>
      <c r="B293" s="171"/>
      <c r="C293" s="171"/>
      <c r="D293" s="411"/>
      <c r="E293" s="619" t="s">
        <v>132</v>
      </c>
      <c r="F293" s="178"/>
      <c r="G293" s="179"/>
      <c r="H293" s="755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4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7"/>
      <c r="B294" s="378"/>
      <c r="C294" s="378"/>
      <c r="D294" s="380"/>
      <c r="E294" s="725" t="s">
        <v>343</v>
      </c>
      <c r="F294" s="380"/>
      <c r="G294" s="381"/>
      <c r="H294" s="421" t="s">
        <v>35</v>
      </c>
      <c r="I294" s="422">
        <f ca="1">IFERROR(__xludf.DUMMYFUNCTION("IMPORTRANGE(""https://docs.google.com/spreadsheets/d/1QqKyyYR6Q21VydFLVH3TRQUabQu_ym0Zz7PgGX0-kHA/edit?usp=sharing"",""แผน!EB39"")"),0)</f>
        <v>0</v>
      </c>
      <c r="J294" s="423">
        <v>0</v>
      </c>
      <c r="K294" s="384">
        <f t="shared" ca="1" si="132"/>
        <v>0</v>
      </c>
      <c r="L294" s="384"/>
      <c r="M294" s="384"/>
      <c r="N294" s="384"/>
      <c r="O294" s="384"/>
      <c r="P294" s="384"/>
    </row>
    <row r="295" spans="1:26" ht="19.5">
      <c r="A295" s="424" t="s">
        <v>137</v>
      </c>
      <c r="B295" s="425"/>
      <c r="C295" s="425"/>
      <c r="D295" s="425"/>
      <c r="E295" s="426"/>
      <c r="F295" s="426"/>
      <c r="G295" s="427"/>
      <c r="H295" s="428"/>
      <c r="I295" s="429"/>
      <c r="J295" s="429"/>
      <c r="K295" s="430"/>
      <c r="L295" s="430"/>
      <c r="M295" s="430"/>
      <c r="N295" s="430"/>
      <c r="O295" s="430"/>
      <c r="P295" s="430"/>
    </row>
    <row r="296" spans="1:26" ht="19.5" hidden="1">
      <c r="A296" s="431" t="s">
        <v>138</v>
      </c>
      <c r="B296" s="432"/>
      <c r="C296" s="432"/>
      <c r="D296" s="433"/>
      <c r="E296" s="433"/>
      <c r="F296" s="433"/>
      <c r="G296" s="434"/>
      <c r="H296" s="435"/>
      <c r="I296" s="436"/>
      <c r="J296" s="436"/>
      <c r="K296" s="437"/>
      <c r="L296" s="437"/>
      <c r="M296" s="437"/>
      <c r="N296" s="437"/>
      <c r="O296" s="437"/>
      <c r="P296" s="437"/>
    </row>
    <row r="297" spans="1:26" ht="19.5" hidden="1">
      <c r="A297" s="438"/>
      <c r="B297" s="439" t="s">
        <v>139</v>
      </c>
      <c r="C297" s="440"/>
      <c r="D297" s="440"/>
      <c r="E297" s="440"/>
      <c r="F297" s="440"/>
      <c r="G297" s="441"/>
      <c r="H297" s="442" t="s">
        <v>35</v>
      </c>
      <c r="I297" s="443">
        <f t="shared" ref="I297:J297" ca="1" si="133">I309</f>
        <v>0</v>
      </c>
      <c r="J297" s="443">
        <f t="shared" si="133"/>
        <v>0</v>
      </c>
      <c r="K297" s="444">
        <f ca="1">IF(I297&gt;0,J297*100/I297,0)</f>
        <v>0</v>
      </c>
      <c r="L297" s="445"/>
      <c r="M297" s="445"/>
      <c r="N297" s="445"/>
      <c r="O297" s="445"/>
      <c r="P297" s="445"/>
    </row>
    <row r="298" spans="1:26" ht="19.5" hidden="1">
      <c r="A298" s="147"/>
      <c r="B298" s="148"/>
      <c r="C298" s="149" t="s">
        <v>16</v>
      </c>
      <c r="D298" s="844" t="s">
        <v>17</v>
      </c>
      <c r="E298" s="148"/>
      <c r="F298" s="148"/>
      <c r="G298" s="151"/>
      <c r="H298" s="152" t="s">
        <v>12</v>
      </c>
      <c r="I298" s="419"/>
      <c r="J298" s="419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2" t="s">
        <v>18</v>
      </c>
      <c r="F299" s="40"/>
      <c r="G299" s="157"/>
      <c r="H299" s="158" t="s">
        <v>12</v>
      </c>
      <c r="I299" s="610"/>
      <c r="J299" s="610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2" t="s">
        <v>19</v>
      </c>
      <c r="F300" s="40"/>
      <c r="G300" s="157"/>
      <c r="H300" s="158" t="s">
        <v>12</v>
      </c>
      <c r="I300" s="610"/>
      <c r="J300" s="610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1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6">
        <f t="shared" ref="L301:N301" ca="1" si="138">L302+L303</f>
        <v>0</v>
      </c>
      <c r="M301" s="496">
        <f t="shared" ca="1" si="138"/>
        <v>0</v>
      </c>
      <c r="N301" s="496">
        <f t="shared" ca="1" si="138"/>
        <v>0</v>
      </c>
      <c r="O301" s="496">
        <f t="shared" ca="1" si="135"/>
        <v>0</v>
      </c>
      <c r="P301" s="496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2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2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1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6">
        <f t="shared" ref="L304:N304" ca="1" si="139">L305+L306</f>
        <v>0</v>
      </c>
      <c r="M304" s="496">
        <f t="shared" ca="1" si="139"/>
        <v>0</v>
      </c>
      <c r="N304" s="496">
        <f t="shared" ca="1" si="139"/>
        <v>0</v>
      </c>
      <c r="O304" s="496">
        <f t="shared" ca="1" si="135"/>
        <v>0</v>
      </c>
      <c r="P304" s="496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2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2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5" t="s">
        <v>38</v>
      </c>
      <c r="E307" s="173"/>
      <c r="F307" s="173"/>
      <c r="G307" s="174"/>
      <c r="H307" s="753"/>
      <c r="I307" s="269"/>
      <c r="J307" s="269"/>
      <c r="K307" s="496"/>
      <c r="L307" s="496"/>
      <c r="M307" s="496"/>
      <c r="N307" s="496"/>
      <c r="O307" s="496"/>
      <c r="P307" s="496"/>
    </row>
    <row r="308" spans="1:26" ht="18.75" hidden="1">
      <c r="A308" s="170"/>
      <c r="B308" s="171"/>
      <c r="C308" s="171"/>
      <c r="D308" s="446" t="s">
        <v>140</v>
      </c>
      <c r="E308" s="446"/>
      <c r="F308" s="446"/>
      <c r="G308" s="179"/>
      <c r="H308" s="755"/>
      <c r="I308" s="269"/>
      <c r="J308" s="214">
        <v>0</v>
      </c>
      <c r="K308" s="496"/>
      <c r="L308" s="496"/>
      <c r="M308" s="496"/>
      <c r="N308" s="496"/>
      <c r="O308" s="496"/>
      <c r="P308" s="496"/>
    </row>
    <row r="309" spans="1:26" ht="18.75" hidden="1">
      <c r="A309" s="170"/>
      <c r="B309" s="171"/>
      <c r="C309" s="171"/>
      <c r="D309" s="446" t="s">
        <v>141</v>
      </c>
      <c r="E309" s="446"/>
      <c r="F309" s="446"/>
      <c r="G309" s="179"/>
      <c r="H309" s="755" t="s">
        <v>35</v>
      </c>
      <c r="I309" s="269">
        <f ca="1">IFERROR(__xludf.DUMMYFUNCTION("IMPORTRANGE(""https://docs.google.com/spreadsheets/d/1QqKyyYR6Q21VydFLVH3TRQUabQu_ym0Zz7PgGX0-kHA/edit?usp=sharing"",""แผน!ED39"")"),0)</f>
        <v>0</v>
      </c>
      <c r="J309" s="214">
        <v>0</v>
      </c>
      <c r="K309" s="496">
        <f t="shared" ref="K309:K312" ca="1" si="140">IF(I309&gt;0,J309*100/I309,0)</f>
        <v>0</v>
      </c>
      <c r="L309" s="496"/>
      <c r="M309" s="496"/>
      <c r="N309" s="496"/>
      <c r="O309" s="496"/>
      <c r="P309" s="496"/>
    </row>
    <row r="310" spans="1:26" ht="18.75" hidden="1">
      <c r="A310" s="170"/>
      <c r="B310" s="171"/>
      <c r="C310" s="171"/>
      <c r="D310" s="446" t="s">
        <v>142</v>
      </c>
      <c r="E310" s="446"/>
      <c r="F310" s="446"/>
      <c r="G310" s="179"/>
      <c r="H310" s="755" t="s">
        <v>35</v>
      </c>
      <c r="I310" s="269">
        <f ca="1">IFERROR(__xludf.DUMMYFUNCTION("IMPORTRANGE(""https://docs.google.com/spreadsheets/d/1QqKyyYR6Q21VydFLVH3TRQUabQu_ym0Zz7PgGX0-kHA/edit?usp=sharing"",""แผน!ED39"")"),0)</f>
        <v>0</v>
      </c>
      <c r="J310" s="214">
        <v>0</v>
      </c>
      <c r="K310" s="496">
        <f t="shared" ca="1" si="140"/>
        <v>0</v>
      </c>
      <c r="L310" s="496"/>
      <c r="M310" s="496"/>
      <c r="N310" s="496"/>
      <c r="O310" s="496"/>
      <c r="P310" s="496"/>
    </row>
    <row r="311" spans="1:26" ht="18.75" hidden="1">
      <c r="A311" s="170"/>
      <c r="B311" s="171"/>
      <c r="C311" s="171"/>
      <c r="D311" s="446" t="s">
        <v>59</v>
      </c>
      <c r="E311" s="446"/>
      <c r="F311" s="446"/>
      <c r="G311" s="179"/>
      <c r="H311" s="755" t="s">
        <v>35</v>
      </c>
      <c r="I311" s="269">
        <f ca="1">IFERROR(__xludf.DUMMYFUNCTION("IMPORTRANGE(""https://docs.google.com/spreadsheets/d/1QqKyyYR6Q21VydFLVH3TRQUabQu_ym0Zz7PgGX0-kHA/edit?usp=sharing"",""แผน!ED39"")"),0)</f>
        <v>0</v>
      </c>
      <c r="J311" s="214">
        <v>0</v>
      </c>
      <c r="K311" s="496">
        <f t="shared" ca="1" si="140"/>
        <v>0</v>
      </c>
      <c r="L311" s="496"/>
      <c r="M311" s="496"/>
      <c r="N311" s="496"/>
      <c r="O311" s="496"/>
      <c r="P311" s="496"/>
    </row>
    <row r="312" spans="1:26" ht="18.75" hidden="1">
      <c r="A312" s="170"/>
      <c r="B312" s="171"/>
      <c r="C312" s="171"/>
      <c r="D312" s="446" t="s">
        <v>143</v>
      </c>
      <c r="E312" s="446"/>
      <c r="F312" s="446"/>
      <c r="G312" s="179"/>
      <c r="H312" s="755" t="s">
        <v>35</v>
      </c>
      <c r="I312" s="269">
        <f ca="1">IFERROR(__xludf.DUMMYFUNCTION("IMPORTRANGE(""https://docs.google.com/spreadsheets/d/1QqKyyYR6Q21VydFLVH3TRQUabQu_ym0Zz7PgGX0-kHA/edit?usp=sharing"",""แผน!EE39"")"),0)</f>
        <v>0</v>
      </c>
      <c r="J312" s="214">
        <v>0</v>
      </c>
      <c r="K312" s="496">
        <f t="shared" ca="1" si="140"/>
        <v>0</v>
      </c>
      <c r="L312" s="496"/>
      <c r="M312" s="496"/>
      <c r="N312" s="496"/>
      <c r="O312" s="496"/>
      <c r="P312" s="496"/>
    </row>
    <row r="313" spans="1:26" ht="19.5" hidden="1">
      <c r="A313" s="431" t="s">
        <v>144</v>
      </c>
      <c r="B313" s="432"/>
      <c r="C313" s="432"/>
      <c r="D313" s="433"/>
      <c r="E313" s="432"/>
      <c r="F313" s="432"/>
      <c r="G313" s="432"/>
      <c r="H313" s="448"/>
      <c r="I313" s="436"/>
      <c r="J313" s="436"/>
      <c r="K313" s="437"/>
      <c r="L313" s="437"/>
      <c r="M313" s="437"/>
      <c r="N313" s="437"/>
      <c r="O313" s="437"/>
      <c r="P313" s="437"/>
    </row>
    <row r="314" spans="1:26" ht="19.5" hidden="1">
      <c r="A314" s="449"/>
      <c r="B314" s="439" t="s">
        <v>145</v>
      </c>
      <c r="C314" s="450"/>
      <c r="D314" s="451"/>
      <c r="E314" s="440"/>
      <c r="F314" s="440"/>
      <c r="G314" s="441"/>
      <c r="H314" s="442" t="s">
        <v>146</v>
      </c>
      <c r="I314" s="443">
        <f t="shared" ref="I314:J314" ca="1" si="141">I325</f>
        <v>0</v>
      </c>
      <c r="J314" s="443">
        <f t="shared" si="141"/>
        <v>0</v>
      </c>
      <c r="K314" s="444">
        <f ca="1">IF(I314&gt;0,J314*100/I314,0)</f>
        <v>0</v>
      </c>
      <c r="L314" s="445"/>
      <c r="M314" s="445"/>
      <c r="N314" s="445"/>
      <c r="O314" s="445"/>
      <c r="P314" s="445"/>
    </row>
    <row r="315" spans="1:26" ht="19.5" hidden="1">
      <c r="A315" s="147"/>
      <c r="B315" s="148"/>
      <c r="C315" s="149" t="s">
        <v>16</v>
      </c>
      <c r="D315" s="844" t="s">
        <v>17</v>
      </c>
      <c r="E315" s="148"/>
      <c r="F315" s="148"/>
      <c r="G315" s="151"/>
      <c r="H315" s="152" t="s">
        <v>12</v>
      </c>
      <c r="I315" s="419"/>
      <c r="J315" s="419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2" t="s">
        <v>18</v>
      </c>
      <c r="F316" s="40"/>
      <c r="G316" s="157"/>
      <c r="H316" s="158" t="s">
        <v>12</v>
      </c>
      <c r="I316" s="610"/>
      <c r="J316" s="610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2" t="s">
        <v>19</v>
      </c>
      <c r="F317" s="40"/>
      <c r="G317" s="157"/>
      <c r="H317" s="158" t="s">
        <v>12</v>
      </c>
      <c r="I317" s="610"/>
      <c r="J317" s="610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1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6">
        <f t="shared" ref="L318:N318" ca="1" si="146">L319+L320</f>
        <v>0</v>
      </c>
      <c r="M318" s="496">
        <f t="shared" ca="1" si="146"/>
        <v>0</v>
      </c>
      <c r="N318" s="496">
        <f t="shared" ca="1" si="146"/>
        <v>0</v>
      </c>
      <c r="O318" s="496">
        <f t="shared" ca="1" si="143"/>
        <v>0</v>
      </c>
      <c r="P318" s="496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2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2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1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6">
        <f t="shared" ref="L321:N321" ca="1" si="147">L322+L323</f>
        <v>0</v>
      </c>
      <c r="M321" s="496">
        <f t="shared" ca="1" si="147"/>
        <v>0</v>
      </c>
      <c r="N321" s="496">
        <f t="shared" ca="1" si="147"/>
        <v>0</v>
      </c>
      <c r="O321" s="496">
        <f t="shared" ca="1" si="143"/>
        <v>0</v>
      </c>
      <c r="P321" s="496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2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2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5" t="s">
        <v>38</v>
      </c>
      <c r="E324" s="173"/>
      <c r="F324" s="173"/>
      <c r="G324" s="174"/>
      <c r="H324" s="753"/>
      <c r="I324" s="184"/>
      <c r="J324" s="269"/>
      <c r="K324" s="496"/>
      <c r="L324" s="496"/>
      <c r="M324" s="496"/>
      <c r="N324" s="496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6"/>
      <c r="G325" s="179"/>
      <c r="H325" s="616" t="s">
        <v>146</v>
      </c>
      <c r="I325" s="269">
        <f ca="1">IFERROR(__xludf.DUMMYFUNCTION("IMPORTRANGE(""https://docs.google.com/spreadsheets/d/1QqKyyYR6Q21VydFLVH3TRQUabQu_ym0Zz7PgGX0-kHA/edit?usp=sharing"",""แผน!EF39"")"),0)</f>
        <v>0</v>
      </c>
      <c r="J325" s="214">
        <v>0</v>
      </c>
      <c r="K325" s="496">
        <f ca="1">IF(I325&gt;0,J325*100/I325,0)</f>
        <v>0</v>
      </c>
      <c r="L325" s="496"/>
      <c r="M325" s="496"/>
      <c r="N325" s="496"/>
      <c r="O325" s="163"/>
      <c r="P325" s="163"/>
    </row>
    <row r="326" spans="1:26" ht="19.5">
      <c r="A326" s="431" t="s">
        <v>148</v>
      </c>
      <c r="B326" s="432"/>
      <c r="C326" s="432"/>
      <c r="D326" s="433"/>
      <c r="E326" s="432"/>
      <c r="F326" s="432"/>
      <c r="G326" s="432"/>
      <c r="H326" s="448"/>
      <c r="I326" s="436"/>
      <c r="J326" s="436"/>
      <c r="K326" s="437"/>
      <c r="L326" s="437"/>
      <c r="M326" s="437"/>
      <c r="N326" s="437"/>
      <c r="O326" s="437"/>
      <c r="P326" s="437"/>
    </row>
    <row r="327" spans="1:26" ht="19.5">
      <c r="A327" s="438"/>
      <c r="B327" s="439" t="s">
        <v>149</v>
      </c>
      <c r="C327" s="451"/>
      <c r="D327" s="440"/>
      <c r="E327" s="440"/>
      <c r="F327" s="440"/>
      <c r="G327" s="441"/>
      <c r="H327" s="442" t="s">
        <v>35</v>
      </c>
      <c r="I327" s="443">
        <f ca="1">IFERROR(__xludf.DUMMYFUNCTION("IMPORTRANGE(""https://docs.google.com/spreadsheets/d/1QqKyyYR6Q21VydFLVH3TRQUabQu_ym0Zz7PgGX0-kHA/edit?usp=sharing"",""แผน!EG39"")"),1000)</f>
        <v>1000</v>
      </c>
      <c r="J327" s="443">
        <f ca="1">J338+J341+J342+J343</f>
        <v>79</v>
      </c>
      <c r="K327" s="444">
        <f ca="1">IF(I327&gt;0,J327*100/I327,0)</f>
        <v>7.9</v>
      </c>
      <c r="L327" s="445"/>
      <c r="M327" s="445"/>
      <c r="N327" s="445"/>
      <c r="O327" s="445"/>
      <c r="P327" s="445"/>
    </row>
    <row r="328" spans="1:26" ht="19.5">
      <c r="A328" s="147"/>
      <c r="B328" s="148"/>
      <c r="C328" s="149" t="s">
        <v>16</v>
      </c>
      <c r="D328" s="844" t="s">
        <v>17</v>
      </c>
      <c r="E328" s="148"/>
      <c r="F328" s="148"/>
      <c r="G328" s="151"/>
      <c r="H328" s="152" t="s">
        <v>12</v>
      </c>
      <c r="I328" s="419"/>
      <c r="J328" s="419"/>
      <c r="K328" s="154"/>
      <c r="L328" s="155">
        <f t="shared" ref="L328:N328" ca="1" si="148">L329+L330</f>
        <v>161000</v>
      </c>
      <c r="M328" s="155">
        <f t="shared" ca="1" si="148"/>
        <v>80500</v>
      </c>
      <c r="N328" s="155">
        <f t="shared" ca="1" si="148"/>
        <v>37460</v>
      </c>
      <c r="O328" s="155">
        <f t="shared" ref="O328:O336" ca="1" si="149">IF(L328&gt;0,N328*100/L328,0)</f>
        <v>23.267080745341616</v>
      </c>
      <c r="P328" s="155">
        <f t="shared" ref="P328:P336" ca="1" si="150">IF(M328&gt;0,N328*100/M328,0)</f>
        <v>46.534161490683232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2" t="s">
        <v>18</v>
      </c>
      <c r="F329" s="40"/>
      <c r="G329" s="157"/>
      <c r="H329" s="158" t="s">
        <v>12</v>
      </c>
      <c r="I329" s="610"/>
      <c r="J329" s="610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2" t="s">
        <v>19</v>
      </c>
      <c r="F330" s="40"/>
      <c r="G330" s="157"/>
      <c r="H330" s="158" t="s">
        <v>12</v>
      </c>
      <c r="I330" s="610"/>
      <c r="J330" s="610"/>
      <c r="K330" s="93"/>
      <c r="L330" s="93">
        <f t="shared" ca="1" si="151"/>
        <v>161000</v>
      </c>
      <c r="M330" s="93">
        <f t="shared" ca="1" si="151"/>
        <v>80500</v>
      </c>
      <c r="N330" s="93">
        <f t="shared" ca="1" si="151"/>
        <v>37460</v>
      </c>
      <c r="O330" s="93">
        <f t="shared" ca="1" si="149"/>
        <v>23.267080745341616</v>
      </c>
      <c r="P330" s="93">
        <f t="shared" ca="1" si="150"/>
        <v>46.534161490683232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1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6">
        <f t="shared" ref="L331:N331" ca="1" si="152">L332+L333</f>
        <v>161000</v>
      </c>
      <c r="M331" s="496">
        <f t="shared" ca="1" si="152"/>
        <v>80500</v>
      </c>
      <c r="N331" s="496">
        <f t="shared" ca="1" si="152"/>
        <v>37460</v>
      </c>
      <c r="O331" s="496">
        <f t="shared" ca="1" si="149"/>
        <v>23.267080745341616</v>
      </c>
      <c r="P331" s="496">
        <f t="shared" ca="1" si="150"/>
        <v>46.534161490683232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2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2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IFERROR(__xludf.DUMMYFUNCTION("IMPORTRANGE(""https://docs.google.com/spreadsheets/d/1MeEWN-I1oV_STSDYn1IFDPWt_1FKiwhDph83XaGc0o0/edit?usp=sharing"",""งบพรบ!ER39"")"),80500)</f>
        <v>80500</v>
      </c>
      <c r="N333" s="93">
        <f ca="1">IFERROR(__xludf.DUMMYFUNCTION("IMPORTRANGE(""https://docs.google.com/spreadsheets/d/1MeEWN-I1oV_STSDYn1IFDPWt_1FKiwhDph83XaGc0o0/edit?usp=sharing"",""งบพรบ!ET39"")"),37460)</f>
        <v>37460</v>
      </c>
      <c r="O333" s="93">
        <f t="shared" ca="1" si="149"/>
        <v>23.267080745341616</v>
      </c>
      <c r="P333" s="93">
        <f t="shared" ca="1" si="150"/>
        <v>46.534161490683232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1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6">
        <f t="shared" ref="L334:N334" ca="1" si="153">L335+L336</f>
        <v>0</v>
      </c>
      <c r="M334" s="496">
        <f t="shared" ca="1" si="153"/>
        <v>0</v>
      </c>
      <c r="N334" s="496">
        <f t="shared" ca="1" si="153"/>
        <v>0</v>
      </c>
      <c r="O334" s="496">
        <f t="shared" ca="1" si="149"/>
        <v>0</v>
      </c>
      <c r="P334" s="496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2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2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5" t="s">
        <v>38</v>
      </c>
      <c r="E337" s="173"/>
      <c r="F337" s="173"/>
      <c r="G337" s="174"/>
      <c r="H337" s="753"/>
      <c r="I337" s="184"/>
      <c r="J337" s="269"/>
      <c r="K337" s="496"/>
      <c r="L337" s="496"/>
      <c r="M337" s="496"/>
      <c r="N337" s="496"/>
      <c r="O337" s="163"/>
      <c r="P337" s="163"/>
    </row>
    <row r="338" spans="1:26" ht="18.75">
      <c r="A338" s="283"/>
      <c r="B338" s="33"/>
      <c r="C338" s="280"/>
      <c r="D338" s="446" t="s">
        <v>150</v>
      </c>
      <c r="E338" s="171"/>
      <c r="F338" s="33"/>
      <c r="G338" s="35"/>
      <c r="H338" s="276" t="s">
        <v>35</v>
      </c>
      <c r="I338" s="269">
        <f ca="1">IFERROR(__xludf.DUMMYFUNCTION("IMPORTRANGE(""https://docs.google.com/spreadsheets/d/1QqKyyYR6Q21VydFLVH3TRQUabQu_ym0Zz7PgGX0-kHA/edit?usp=sharing"",""แผน!EG39"")"),1000)</f>
        <v>1000</v>
      </c>
      <c r="J338" s="269">
        <f ca="1">IFERROR(__xludf.DUMMYFUNCTION("IMPORTRANGE(""https://docs.google.com/spreadsheets/d/1kVcqe37tkHyjCSG3S0O1AXqVkqjo8mSIZil3BcpIysc/edit?usp=sharing"",""ศูนย์!D39"")"),38)</f>
        <v>38</v>
      </c>
      <c r="K338" s="496">
        <f ca="1">IF(I338&gt;0,J338*100/I338,0)</f>
        <v>3.8</v>
      </c>
      <c r="L338" s="496"/>
      <c r="M338" s="496"/>
      <c r="N338" s="496"/>
      <c r="O338" s="496"/>
      <c r="P338" s="496"/>
    </row>
    <row r="339" spans="1:26" ht="18.75">
      <c r="A339" s="283"/>
      <c r="B339" s="33"/>
      <c r="C339" s="280"/>
      <c r="D339" s="446" t="s">
        <v>151</v>
      </c>
      <c r="E339" s="171"/>
      <c r="F339" s="33"/>
      <c r="G339" s="35"/>
      <c r="H339" s="276"/>
      <c r="I339" s="269"/>
      <c r="J339" s="269"/>
      <c r="K339" s="496"/>
      <c r="L339" s="496"/>
      <c r="M339" s="496"/>
      <c r="N339" s="496"/>
      <c r="O339" s="496"/>
      <c r="P339" s="496"/>
    </row>
    <row r="340" spans="1:26" ht="18.75">
      <c r="A340" s="283"/>
      <c r="B340" s="33"/>
      <c r="C340" s="280"/>
      <c r="D340" s="178"/>
      <c r="E340" s="446" t="s">
        <v>152</v>
      </c>
      <c r="F340" s="33"/>
      <c r="G340" s="35"/>
      <c r="H340" s="276" t="s">
        <v>153</v>
      </c>
      <c r="I340" s="269">
        <f ca="1">IFERROR(__xludf.DUMMYFUNCTION("IMPORTRANGE(""https://docs.google.com/spreadsheets/d/1QqKyyYR6Q21VydFLVH3TRQUabQu_ym0Zz7PgGX0-kHA/edit?usp=sharing"",""แผน!EH39"")"),4)</f>
        <v>4</v>
      </c>
      <c r="J340" s="269">
        <f ca="1">IFERROR(__xludf.DUMMYFUNCTION("IMPORTRANGE(""https://docs.google.com/spreadsheets/d/1kVcqe37tkHyjCSG3S0O1AXqVkqjo8mSIZil3BcpIysc/edit?usp=sharing"",""ศูนย์!E39"")"),0)</f>
        <v>0</v>
      </c>
      <c r="K340" s="496">
        <f ca="1">IF(I340&gt;0,J340*100/I340,0)</f>
        <v>0</v>
      </c>
      <c r="L340" s="496"/>
      <c r="M340" s="496"/>
      <c r="N340" s="496"/>
      <c r="O340" s="496"/>
      <c r="P340" s="496"/>
    </row>
    <row r="341" spans="1:26" ht="18.75">
      <c r="A341" s="283"/>
      <c r="B341" s="33"/>
      <c r="C341" s="280"/>
      <c r="D341" s="178"/>
      <c r="E341" s="446" t="s">
        <v>154</v>
      </c>
      <c r="F341" s="33"/>
      <c r="G341" s="35"/>
      <c r="H341" s="276" t="s">
        <v>35</v>
      </c>
      <c r="I341" s="269"/>
      <c r="J341" s="269">
        <f ca="1">IFERROR(__xludf.DUMMYFUNCTION("IMPORTRANGE(""https://docs.google.com/spreadsheets/d/1kVcqe37tkHyjCSG3S0O1AXqVkqjo8mSIZil3BcpIysc/edit?usp=sharing"",""ศูนย์!F39"")"),41)</f>
        <v>41</v>
      </c>
      <c r="K341" s="496"/>
      <c r="L341" s="496"/>
      <c r="M341" s="496"/>
      <c r="N341" s="496"/>
      <c r="O341" s="496"/>
      <c r="P341" s="496"/>
    </row>
    <row r="342" spans="1:26" ht="18.75">
      <c r="A342" s="283"/>
      <c r="B342" s="33"/>
      <c r="C342" s="280"/>
      <c r="D342" s="446" t="s">
        <v>155</v>
      </c>
      <c r="E342" s="178"/>
      <c r="F342" s="178"/>
      <c r="G342" s="35"/>
      <c r="H342" s="276" t="s">
        <v>35</v>
      </c>
      <c r="I342" s="269"/>
      <c r="J342" s="269">
        <f ca="1">IFERROR(__xludf.DUMMYFUNCTION("IMPORTRANGE(""https://docs.google.com/spreadsheets/d/1kVcqe37tkHyjCSG3S0O1AXqVkqjo8mSIZil3BcpIysc/edit?usp=sharing"",""ศูนย์!G39"")"),0)</f>
        <v>0</v>
      </c>
      <c r="K342" s="496"/>
      <c r="L342" s="496"/>
      <c r="M342" s="496"/>
      <c r="N342" s="496"/>
      <c r="O342" s="496"/>
      <c r="P342" s="496"/>
    </row>
    <row r="343" spans="1:26" ht="18.75">
      <c r="A343" s="283"/>
      <c r="B343" s="33"/>
      <c r="C343" s="280"/>
      <c r="D343" s="446" t="s">
        <v>156</v>
      </c>
      <c r="E343" s="178"/>
      <c r="F343" s="178"/>
      <c r="G343" s="35"/>
      <c r="H343" s="276" t="s">
        <v>35</v>
      </c>
      <c r="I343" s="269"/>
      <c r="J343" s="269">
        <f ca="1">IFERROR(__xludf.DUMMYFUNCTION("IMPORTRANGE(""https://docs.google.com/spreadsheets/d/1kVcqe37tkHyjCSG3S0O1AXqVkqjo8mSIZil3BcpIysc/edit?usp=sharing"",""ศูนย์!H39"")"),0)</f>
        <v>0</v>
      </c>
      <c r="K343" s="496"/>
      <c r="L343" s="496"/>
      <c r="M343" s="496"/>
      <c r="N343" s="496"/>
      <c r="O343" s="496"/>
      <c r="P343" s="496"/>
    </row>
    <row r="344" spans="1:26" ht="19.5">
      <c r="A344" s="438"/>
      <c r="B344" s="439" t="s">
        <v>157</v>
      </c>
      <c r="C344" s="451"/>
      <c r="D344" s="440"/>
      <c r="E344" s="440"/>
      <c r="F344" s="440"/>
      <c r="G344" s="441"/>
      <c r="H344" s="442"/>
      <c r="I344" s="452"/>
      <c r="J344" s="452"/>
      <c r="K344" s="445"/>
      <c r="L344" s="445"/>
      <c r="M344" s="445"/>
      <c r="N344" s="445"/>
      <c r="O344" s="445"/>
      <c r="P344" s="445"/>
    </row>
    <row r="345" spans="1:26" ht="19.5">
      <c r="A345" s="147"/>
      <c r="B345" s="148"/>
      <c r="C345" s="149" t="s">
        <v>16</v>
      </c>
      <c r="D345" s="844" t="s">
        <v>17</v>
      </c>
      <c r="E345" s="148"/>
      <c r="F345" s="148"/>
      <c r="G345" s="151"/>
      <c r="H345" s="152" t="s">
        <v>12</v>
      </c>
      <c r="I345" s="419"/>
      <c r="J345" s="419"/>
      <c r="K345" s="154"/>
      <c r="L345" s="155">
        <f t="shared" ref="L345:N345" ca="1" si="154">L346+L347</f>
        <v>491410</v>
      </c>
      <c r="M345" s="155">
        <f t="shared" ca="1" si="154"/>
        <v>275710</v>
      </c>
      <c r="N345" s="155">
        <f t="shared" ca="1" si="154"/>
        <v>124490.3</v>
      </c>
      <c r="O345" s="155">
        <f t="shared" ref="O345:O353" ca="1" si="155">IF(L345&gt;0,N345*100/L345,0)</f>
        <v>25.333285850918784</v>
      </c>
      <c r="P345" s="155">
        <f t="shared" ref="P345:P353" ca="1" si="156">IF(M345&gt;0,N345*100/M345,0)</f>
        <v>45.152624134053895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2" t="s">
        <v>18</v>
      </c>
      <c r="F346" s="40"/>
      <c r="G346" s="157"/>
      <c r="H346" s="158" t="s">
        <v>12</v>
      </c>
      <c r="I346" s="610"/>
      <c r="J346" s="610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2" t="s">
        <v>19</v>
      </c>
      <c r="F347" s="40"/>
      <c r="G347" s="157"/>
      <c r="H347" s="158" t="s">
        <v>12</v>
      </c>
      <c r="I347" s="610"/>
      <c r="J347" s="610"/>
      <c r="K347" s="93"/>
      <c r="L347" s="93">
        <f t="shared" ca="1" si="157"/>
        <v>491410</v>
      </c>
      <c r="M347" s="93">
        <f t="shared" ca="1" si="157"/>
        <v>275710</v>
      </c>
      <c r="N347" s="93">
        <f t="shared" ca="1" si="157"/>
        <v>124490.3</v>
      </c>
      <c r="O347" s="93">
        <f t="shared" ca="1" si="155"/>
        <v>25.333285850918784</v>
      </c>
      <c r="P347" s="93">
        <f t="shared" ca="1" si="156"/>
        <v>45.152624134053895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1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6">
        <f t="shared" ref="L348:N348" ca="1" si="158">L349+L350</f>
        <v>431410</v>
      </c>
      <c r="M348" s="496">
        <f t="shared" ca="1" si="158"/>
        <v>215710</v>
      </c>
      <c r="N348" s="496">
        <f t="shared" ca="1" si="158"/>
        <v>64490.3</v>
      </c>
      <c r="O348" s="496">
        <f t="shared" ca="1" si="155"/>
        <v>14.948726269673861</v>
      </c>
      <c r="P348" s="496">
        <f t="shared" ca="1" si="156"/>
        <v>29.896759538268974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2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2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IFERROR(__xludf.DUMMYFUNCTION("IMPORTRANGE(""https://docs.google.com/spreadsheets/d/1MeEWN-I1oV_STSDYn1IFDPWt_1FKiwhDph83XaGc0o0/edit?usp=sharing"",""งบพรบ!FB39"")"),215710)</f>
        <v>215710</v>
      </c>
      <c r="N350" s="93">
        <f ca="1">IFERROR(__xludf.DUMMYFUNCTION("IMPORTRANGE(""https://docs.google.com/spreadsheets/d/1MeEWN-I1oV_STSDYn1IFDPWt_1FKiwhDph83XaGc0o0/edit?usp=sharing"",""งบพรบ!FD39"")"),64490.3)</f>
        <v>64490.3</v>
      </c>
      <c r="O350" s="93">
        <f t="shared" ca="1" si="155"/>
        <v>14.948726269673861</v>
      </c>
      <c r="P350" s="93">
        <f t="shared" ca="1" si="156"/>
        <v>29.896759538268974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1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6">
        <f t="shared" ref="L351:N351" ca="1" si="159">L352+L353</f>
        <v>60000</v>
      </c>
      <c r="M351" s="496">
        <f t="shared" ca="1" si="159"/>
        <v>60000</v>
      </c>
      <c r="N351" s="496">
        <f t="shared" ca="1" si="159"/>
        <v>60000</v>
      </c>
      <c r="O351" s="496">
        <f t="shared" ca="1" si="155"/>
        <v>100</v>
      </c>
      <c r="P351" s="496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2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2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5"/>
      <c r="B354" s="263"/>
      <c r="C354" s="256"/>
      <c r="D354" s="855" t="s">
        <v>158</v>
      </c>
      <c r="E354" s="256"/>
      <c r="F354" s="256"/>
      <c r="G354" s="258"/>
      <c r="H354" s="454"/>
      <c r="I354" s="260"/>
      <c r="J354" s="260"/>
      <c r="K354" s="261"/>
      <c r="L354" s="261"/>
      <c r="M354" s="261"/>
      <c r="N354" s="261"/>
      <c r="O354" s="261"/>
      <c r="P354" s="261"/>
    </row>
    <row r="355" spans="1:26" ht="19.5">
      <c r="A355" s="455"/>
      <c r="B355" s="456"/>
      <c r="C355" s="457"/>
      <c r="D355" s="856" t="s">
        <v>159</v>
      </c>
      <c r="E355" s="459"/>
      <c r="F355" s="459"/>
      <c r="G355" s="460"/>
      <c r="H355" s="461" t="s">
        <v>35</v>
      </c>
      <c r="I355" s="463">
        <f ca="1">IFERROR(__xludf.DUMMYFUNCTION("IMPORTRANGE(""https://docs.google.com/spreadsheets/d/1QqKyyYR6Q21VydFLVH3TRQUabQu_ym0Zz7PgGX0-kHA/edit?usp=sharing"",""แผน!EP39"")"),115)</f>
        <v>115</v>
      </c>
      <c r="J355" s="463">
        <f ca="1">J362</f>
        <v>0</v>
      </c>
      <c r="K355" s="464">
        <f ca="1">IF(I355&gt;0,J355*100/I355,0)</f>
        <v>0</v>
      </c>
      <c r="L355" s="465"/>
      <c r="M355" s="465"/>
      <c r="N355" s="465"/>
      <c r="O355" s="465"/>
      <c r="P355" s="465"/>
    </row>
    <row r="356" spans="1:26" ht="19.5">
      <c r="A356" s="455"/>
      <c r="B356" s="456"/>
      <c r="C356" s="457"/>
      <c r="D356" s="466" t="s">
        <v>160</v>
      </c>
      <c r="E356" s="459"/>
      <c r="F356" s="459"/>
      <c r="G356" s="460"/>
      <c r="H356" s="467"/>
      <c r="I356" s="468"/>
      <c r="J356" s="468"/>
      <c r="K356" s="465"/>
      <c r="L356" s="465"/>
      <c r="M356" s="465"/>
      <c r="N356" s="465"/>
      <c r="O356" s="465"/>
      <c r="P356" s="465"/>
    </row>
    <row r="357" spans="1:26" ht="19.5">
      <c r="A357" s="170"/>
      <c r="B357" s="171"/>
      <c r="C357" s="164" t="s">
        <v>16</v>
      </c>
      <c r="D357" s="845" t="s">
        <v>38</v>
      </c>
      <c r="E357" s="173"/>
      <c r="F357" s="173"/>
      <c r="G357" s="174"/>
      <c r="H357" s="753"/>
      <c r="I357" s="269"/>
      <c r="J357" s="269"/>
      <c r="K357" s="496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69">
        <v>0</v>
      </c>
      <c r="J358" s="269">
        <f ca="1">IFERROR(__xludf.DUMMYFUNCTION("IMPORTRANGE(""https://docs.google.com/spreadsheets/d/1XWAQStnk-4SwqDmLtmXYiTMKHgktTP8We1SCoS47DrQ/edit?usp=sharing"",""จัดที่ดิน!W39"")"),0)</f>
        <v>0</v>
      </c>
      <c r="K358" s="496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69">
        <f ca="1">IFERROR(__xludf.DUMMYFUNCTION("IMPORTRANGE(""https://docs.google.com/spreadsheets/d/1QqKyyYR6Q21VydFLVH3TRQUabQu_ym0Zz7PgGX0-kHA/edit?usp=sharing"",""แผน!EO39"")"),1150)</f>
        <v>1150</v>
      </c>
      <c r="J359" s="269">
        <f ca="1">IFERROR(__xludf.DUMMYFUNCTION("IMPORTRANGE(""https://docs.google.com/spreadsheets/d/1XWAQStnk-4SwqDmLtmXYiTMKHgktTP8We1SCoS47DrQ/edit?usp=sharing"",""จัดที่ดิน!X39"")"),0)</f>
        <v>0</v>
      </c>
      <c r="K359" s="496">
        <f t="shared" ca="1" si="160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5" t="s">
        <v>35</v>
      </c>
      <c r="I360" s="269">
        <f ca="1">IFERROR(__xludf.DUMMYFUNCTION("IMPORTRANGE(""https://docs.google.com/spreadsheets/d/1QqKyyYR6Q21VydFLVH3TRQUabQu_ym0Zz7PgGX0-kHA/edit?usp=sharing"",""แผน!EP39"")"),115)</f>
        <v>115</v>
      </c>
      <c r="J360" s="269">
        <f ca="1">IFERROR(__xludf.DUMMYFUNCTION("IMPORTRANGE(""https://docs.google.com/spreadsheets/d/1XWAQStnk-4SwqDmLtmXYiTMKHgktTP8We1SCoS47DrQ/edit?usp=sharing"",""จัดที่ดิน!Y39"")"),0)</f>
        <v>0</v>
      </c>
      <c r="K360" s="496">
        <f t="shared" ca="1" si="160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5" t="s">
        <v>46</v>
      </c>
      <c r="I361" s="269">
        <v>0</v>
      </c>
      <c r="J361" s="269">
        <f ca="1">IFERROR(__xludf.DUMMYFUNCTION("IMPORTRANGE(""https://docs.google.com/spreadsheets/d/1XWAQStnk-4SwqDmLtmXYiTMKHgktTP8We1SCoS47DrQ/edit?usp=sharing"",""จัดที่ดิน!Z39"")"),0)</f>
        <v>0</v>
      </c>
      <c r="K361" s="496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5" t="s">
        <v>35</v>
      </c>
      <c r="I362" s="269">
        <f ca="1">IFERROR(__xludf.DUMMYFUNCTION("IMPORTRANGE(""https://docs.google.com/spreadsheets/d/1QqKyyYR6Q21VydFLVH3TRQUabQu_ym0Zz7PgGX0-kHA/edit?usp=sharing"",""แผน!EP39"")"),115)</f>
        <v>115</v>
      </c>
      <c r="J362" s="269">
        <f ca="1">IFERROR(__xludf.DUMMYFUNCTION("IMPORTRANGE(""https://docs.google.com/spreadsheets/d/1XWAQStnk-4SwqDmLtmXYiTMKHgktTP8We1SCoS47DrQ/edit?usp=sharing"",""จัดที่ดิน!AA39"")"),0)</f>
        <v>0</v>
      </c>
      <c r="K362" s="496">
        <f t="shared" ca="1" si="160"/>
        <v>0</v>
      </c>
      <c r="L362" s="163"/>
      <c r="M362" s="163"/>
      <c r="N362" s="163"/>
      <c r="O362" s="163"/>
      <c r="P362" s="163"/>
    </row>
    <row r="363" spans="1:26" ht="18.75">
      <c r="A363" s="469" t="s">
        <v>164</v>
      </c>
      <c r="B363" s="178"/>
      <c r="C363" s="171"/>
      <c r="D363" s="178"/>
      <c r="E363" s="446"/>
      <c r="F363" s="178"/>
      <c r="G363" s="179"/>
      <c r="H363" s="755" t="s">
        <v>46</v>
      </c>
      <c r="I363" s="269">
        <v>0</v>
      </c>
      <c r="J363" s="269">
        <f ca="1">IFERROR(__xludf.DUMMYFUNCTION("IMPORTRANGE(""https://docs.google.com/spreadsheets/d/1XWAQStnk-4SwqDmLtmXYiTMKHgktTP8We1SCoS47DrQ/edit?usp=sharing"",""จัดที่ดิน!AB39"")"),0)</f>
        <v>0</v>
      </c>
      <c r="K363" s="496">
        <f t="shared" si="160"/>
        <v>0</v>
      </c>
      <c r="L363" s="163"/>
      <c r="M363" s="163"/>
      <c r="N363" s="163"/>
      <c r="O363" s="163"/>
      <c r="P363" s="163"/>
    </row>
    <row r="364" spans="1:26" ht="19.5">
      <c r="A364" s="470"/>
      <c r="B364" s="471"/>
      <c r="C364" s="472"/>
      <c r="D364" s="473" t="s">
        <v>165</v>
      </c>
      <c r="E364" s="474"/>
      <c r="F364" s="474"/>
      <c r="G364" s="475"/>
      <c r="H364" s="476" t="s">
        <v>35</v>
      </c>
      <c r="I364" s="477">
        <f t="shared" ref="I364:J364" ca="1" si="161">I365+I374</f>
        <v>315</v>
      </c>
      <c r="J364" s="477">
        <f t="shared" ca="1" si="161"/>
        <v>0</v>
      </c>
      <c r="K364" s="478">
        <f t="shared" ca="1" si="160"/>
        <v>0</v>
      </c>
      <c r="L364" s="479"/>
      <c r="M364" s="479"/>
      <c r="N364" s="479"/>
      <c r="O364" s="479"/>
      <c r="P364" s="479"/>
      <c r="Q364" s="480"/>
      <c r="R364" s="480"/>
      <c r="S364" s="480"/>
      <c r="T364" s="480"/>
      <c r="U364" s="480"/>
      <c r="V364" s="480"/>
      <c r="W364" s="480"/>
      <c r="X364" s="480"/>
      <c r="Y364" s="480"/>
      <c r="Z364" s="480"/>
    </row>
    <row r="365" spans="1:26" ht="19.5">
      <c r="A365" s="481"/>
      <c r="B365" s="482"/>
      <c r="C365" s="484"/>
      <c r="D365" s="484" t="s">
        <v>166</v>
      </c>
      <c r="E365" s="485"/>
      <c r="F365" s="485"/>
      <c r="G365" s="486"/>
      <c r="H365" s="487" t="s">
        <v>35</v>
      </c>
      <c r="I365" s="489">
        <f ca="1">IFERROR(__xludf.DUMMYFUNCTION("IMPORTRANGE(""https://docs.google.com/spreadsheets/d/1QqKyyYR6Q21VydFLVH3TRQUabQu_ym0Zz7PgGX0-kHA/edit?usp=sharing"",""แผน!EJ39"")"),15)</f>
        <v>15</v>
      </c>
      <c r="J365" s="489">
        <f ca="1">J372</f>
        <v>0</v>
      </c>
      <c r="K365" s="490">
        <f t="shared" ca="1" si="160"/>
        <v>0</v>
      </c>
      <c r="L365" s="491"/>
      <c r="M365" s="491"/>
      <c r="N365" s="491"/>
      <c r="O365" s="491"/>
      <c r="P365" s="491"/>
      <c r="Q365" s="480"/>
      <c r="R365" s="480"/>
      <c r="S365" s="480"/>
      <c r="T365" s="480"/>
      <c r="U365" s="480"/>
      <c r="V365" s="480"/>
      <c r="W365" s="480"/>
      <c r="X365" s="480"/>
      <c r="Y365" s="480"/>
      <c r="Z365" s="480"/>
    </row>
    <row r="366" spans="1:26" ht="19.5">
      <c r="A366" s="481"/>
      <c r="B366" s="482"/>
      <c r="C366" s="484"/>
      <c r="D366" s="492" t="s">
        <v>167</v>
      </c>
      <c r="E366" s="485"/>
      <c r="F366" s="485"/>
      <c r="G366" s="486"/>
      <c r="H366" s="493"/>
      <c r="I366" s="494"/>
      <c r="J366" s="494"/>
      <c r="K366" s="491"/>
      <c r="L366" s="491"/>
      <c r="M366" s="491"/>
      <c r="N366" s="491"/>
      <c r="O366" s="491"/>
      <c r="P366" s="491"/>
      <c r="Q366" s="480"/>
      <c r="R366" s="480"/>
      <c r="S366" s="480"/>
      <c r="T366" s="480"/>
      <c r="U366" s="480"/>
      <c r="V366" s="480"/>
      <c r="W366" s="480"/>
      <c r="X366" s="480"/>
      <c r="Y366" s="480"/>
      <c r="Z366" s="480"/>
    </row>
    <row r="367" spans="1:26" ht="19.5">
      <c r="A367" s="170"/>
      <c r="B367" s="171"/>
      <c r="C367" s="164" t="s">
        <v>16</v>
      </c>
      <c r="D367" s="845" t="s">
        <v>38</v>
      </c>
      <c r="E367" s="173"/>
      <c r="F367" s="173"/>
      <c r="G367" s="174"/>
      <c r="H367" s="753"/>
      <c r="I367" s="269"/>
      <c r="J367" s="269"/>
      <c r="K367" s="496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69">
        <v>0</v>
      </c>
      <c r="J368" s="269">
        <f ca="1">IFERROR(__xludf.DUMMYFUNCTION("IMPORTRANGE(""https://docs.google.com/spreadsheets/d/1XWAQStnk-4SwqDmLtmXYiTMKHgktTP8We1SCoS47DrQ/edit?usp=sharing"",""จัดที่ดิน!E39"")"),0)</f>
        <v>0</v>
      </c>
      <c r="K368" s="496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69">
        <f ca="1">IFERROR(__xludf.DUMMYFUNCTION("IMPORTRANGE(""https://docs.google.com/spreadsheets/d/1QqKyyYR6Q21VydFLVH3TRQUabQu_ym0Zz7PgGX0-kHA/edit?usp=sharing"",""แผน!EI39"")"),150)</f>
        <v>150</v>
      </c>
      <c r="J369" s="269">
        <f ca="1">IFERROR(__xludf.DUMMYFUNCTION("IMPORTRANGE(""https://docs.google.com/spreadsheets/d/1XWAQStnk-4SwqDmLtmXYiTMKHgktTP8We1SCoS47DrQ/edit?usp=sharing"",""จัดที่ดิน!F39"")"),0)</f>
        <v>0</v>
      </c>
      <c r="K369" s="496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5" t="s">
        <v>35</v>
      </c>
      <c r="I370" s="269">
        <f ca="1">IFERROR(__xludf.DUMMYFUNCTION("IMPORTRANGE(""https://docs.google.com/spreadsheets/d/1QqKyyYR6Q21VydFLVH3TRQUabQu_ym0Zz7PgGX0-kHA/edit?usp=sharing"",""แผน!EJ39"")"),15)</f>
        <v>15</v>
      </c>
      <c r="J370" s="269">
        <f ca="1">IFERROR(__xludf.DUMMYFUNCTION("IMPORTRANGE(""https://docs.google.com/spreadsheets/d/1XWAQStnk-4SwqDmLtmXYiTMKHgktTP8We1SCoS47DrQ/edit?usp=sharing"",""จัดที่ดิน!G39"")"),0)</f>
        <v>0</v>
      </c>
      <c r="K370" s="496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5" t="s">
        <v>46</v>
      </c>
      <c r="I371" s="269">
        <v>0</v>
      </c>
      <c r="J371" s="269">
        <f ca="1">IFERROR(__xludf.DUMMYFUNCTION("IMPORTRANGE(""https://docs.google.com/spreadsheets/d/1XWAQStnk-4SwqDmLtmXYiTMKHgktTP8We1SCoS47DrQ/edit?usp=sharing"",""จัดที่ดิน!H39"")"),0)</f>
        <v>0</v>
      </c>
      <c r="K371" s="496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5" t="s">
        <v>35</v>
      </c>
      <c r="I372" s="269">
        <f ca="1">IFERROR(__xludf.DUMMYFUNCTION("IMPORTRANGE(""https://docs.google.com/spreadsheets/d/1QqKyyYR6Q21VydFLVH3TRQUabQu_ym0Zz7PgGX0-kHA/edit?usp=sharing"",""แผน!EJ39"")"),15)</f>
        <v>15</v>
      </c>
      <c r="J372" s="269">
        <f ca="1">IFERROR(__xludf.DUMMYFUNCTION("IMPORTRANGE(""https://docs.google.com/spreadsheets/d/1XWAQStnk-4SwqDmLtmXYiTMKHgktTP8We1SCoS47DrQ/edit?usp=sharing"",""จัดที่ดิน!I39"")"),0)</f>
        <v>0</v>
      </c>
      <c r="K372" s="496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69" t="s">
        <v>164</v>
      </c>
      <c r="B373" s="178"/>
      <c r="C373" s="171"/>
      <c r="D373" s="178"/>
      <c r="E373" s="446"/>
      <c r="F373" s="178"/>
      <c r="G373" s="179"/>
      <c r="H373" s="755" t="s">
        <v>46</v>
      </c>
      <c r="I373" s="269">
        <v>0</v>
      </c>
      <c r="J373" s="269">
        <f ca="1">IFERROR(__xludf.DUMMYFUNCTION("IMPORTRANGE(""https://docs.google.com/spreadsheets/d/1XWAQStnk-4SwqDmLtmXYiTMKHgktTP8We1SCoS47DrQ/edit?usp=sharing"",""จัดที่ดิน!J39"")"),0)</f>
        <v>0</v>
      </c>
      <c r="K373" s="496">
        <f t="shared" si="162"/>
        <v>0</v>
      </c>
      <c r="L373" s="163"/>
      <c r="M373" s="163"/>
      <c r="N373" s="163"/>
      <c r="O373" s="163"/>
      <c r="P373" s="163"/>
    </row>
    <row r="374" spans="1:26" ht="19.5">
      <c r="A374" s="481"/>
      <c r="B374" s="482"/>
      <c r="C374" s="484"/>
      <c r="D374" s="484" t="s">
        <v>168</v>
      </c>
      <c r="E374" s="485"/>
      <c r="F374" s="485"/>
      <c r="G374" s="486"/>
      <c r="H374" s="487" t="s">
        <v>35</v>
      </c>
      <c r="I374" s="495">
        <f ca="1">IFERROR(__xludf.DUMMYFUNCTION("IMPORTRANGE(""https://docs.google.com/spreadsheets/d/1QqKyyYR6Q21VydFLVH3TRQUabQu_ym0Zz7PgGX0-kHA/edit?usp=sharing"",""แผน!EU39"")"),300)</f>
        <v>300</v>
      </c>
      <c r="J374" s="489">
        <f ca="1">J381</f>
        <v>0</v>
      </c>
      <c r="K374" s="490">
        <f t="shared" ca="1" si="162"/>
        <v>0</v>
      </c>
      <c r="L374" s="491"/>
      <c r="M374" s="491"/>
      <c r="N374" s="491"/>
      <c r="O374" s="491"/>
      <c r="P374" s="491"/>
      <c r="Q374" s="480"/>
      <c r="R374" s="480"/>
      <c r="S374" s="480"/>
      <c r="T374" s="480"/>
      <c r="U374" s="480"/>
      <c r="V374" s="480"/>
      <c r="W374" s="480"/>
      <c r="X374" s="480"/>
      <c r="Y374" s="480"/>
      <c r="Z374" s="480"/>
    </row>
    <row r="375" spans="1:26" ht="19.5">
      <c r="A375" s="481"/>
      <c r="B375" s="482"/>
      <c r="C375" s="484"/>
      <c r="D375" s="492" t="s">
        <v>169</v>
      </c>
      <c r="E375" s="485"/>
      <c r="F375" s="485"/>
      <c r="G375" s="486"/>
      <c r="H375" s="493"/>
      <c r="I375" s="494"/>
      <c r="J375" s="494"/>
      <c r="K375" s="491"/>
      <c r="L375" s="491"/>
      <c r="M375" s="491"/>
      <c r="N375" s="491"/>
      <c r="O375" s="491"/>
      <c r="P375" s="491"/>
      <c r="Q375" s="480"/>
      <c r="R375" s="480"/>
      <c r="S375" s="480"/>
      <c r="T375" s="480"/>
      <c r="U375" s="480"/>
      <c r="V375" s="480"/>
      <c r="W375" s="480"/>
      <c r="X375" s="480"/>
      <c r="Y375" s="480"/>
      <c r="Z375" s="480"/>
    </row>
    <row r="376" spans="1:26" ht="19.5">
      <c r="A376" s="170"/>
      <c r="B376" s="171"/>
      <c r="C376" s="164" t="s">
        <v>16</v>
      </c>
      <c r="D376" s="845" t="s">
        <v>38</v>
      </c>
      <c r="E376" s="173"/>
      <c r="F376" s="173"/>
      <c r="G376" s="174"/>
      <c r="H376" s="753"/>
      <c r="I376" s="269"/>
      <c r="J376" s="269"/>
      <c r="K376" s="496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69">
        <v>0</v>
      </c>
      <c r="J377" s="269">
        <f ca="1">IFERROR(__xludf.DUMMYFUNCTION("IMPORTRANGE(""https://docs.google.com/spreadsheets/d/1XWAQStnk-4SwqDmLtmXYiTMKHgktTP8We1SCoS47DrQ/edit?usp=sharing"",""จัดที่ดิน!AH39"")"),0)</f>
        <v>0</v>
      </c>
      <c r="K377" s="496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69">
        <f ca="1">IFERROR(__xludf.DUMMYFUNCTION("IMPORTRANGE(""https://docs.google.com/spreadsheets/d/1QqKyyYR6Q21VydFLVH3TRQUabQu_ym0Zz7PgGX0-kHA/edit?usp=sharing"",""แผน!ET39"")"),1000)</f>
        <v>1000</v>
      </c>
      <c r="J378" s="269">
        <f ca="1">IFERROR(__xludf.DUMMYFUNCTION("IMPORTRANGE(""https://docs.google.com/spreadsheets/d/1XWAQStnk-4SwqDmLtmXYiTMKHgktTP8We1SCoS47DrQ/edit?usp=sharing"",""จัดที่ดิน!AI39"")"),0)</f>
        <v>0</v>
      </c>
      <c r="K378" s="496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5" t="s">
        <v>35</v>
      </c>
      <c r="I379" s="269">
        <f ca="1">IFERROR(__xludf.DUMMYFUNCTION("IMPORTRANGE(""https://docs.google.com/spreadsheets/d/1QqKyyYR6Q21VydFLVH3TRQUabQu_ym0Zz7PgGX0-kHA/edit?usp=sharing"",""แผน!EU39"")"),300)</f>
        <v>300</v>
      </c>
      <c r="J379" s="269">
        <f ca="1">IFERROR(__xludf.DUMMYFUNCTION("IMPORTRANGE(""https://docs.google.com/spreadsheets/d/1XWAQStnk-4SwqDmLtmXYiTMKHgktTP8We1SCoS47DrQ/edit?usp=sharing"",""จัดที่ดิน!AJ39"")"),0)</f>
        <v>0</v>
      </c>
      <c r="K379" s="496">
        <f t="shared" ca="1" si="163"/>
        <v>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5" t="s">
        <v>46</v>
      </c>
      <c r="I380" s="269">
        <v>0</v>
      </c>
      <c r="J380" s="269">
        <f ca="1">IFERROR(__xludf.DUMMYFUNCTION("IMPORTRANGE(""https://docs.google.com/spreadsheets/d/1XWAQStnk-4SwqDmLtmXYiTMKHgktTP8We1SCoS47DrQ/edit?usp=sharing"",""จัดที่ดิน!AK39"")"),0)</f>
        <v>0</v>
      </c>
      <c r="K380" s="496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5" t="s">
        <v>35</v>
      </c>
      <c r="I381" s="269">
        <f ca="1">IFERROR(__xludf.DUMMYFUNCTION("IMPORTRANGE(""https://docs.google.com/spreadsheets/d/1QqKyyYR6Q21VydFLVH3TRQUabQu_ym0Zz7PgGX0-kHA/edit?usp=sharing"",""แผน!EU39"")"),300)</f>
        <v>300</v>
      </c>
      <c r="J381" s="269">
        <f ca="1">IFERROR(__xludf.DUMMYFUNCTION("IMPORTRANGE(""https://docs.google.com/spreadsheets/d/1XWAQStnk-4SwqDmLtmXYiTMKHgktTP8We1SCoS47DrQ/edit?usp=sharing"",""จัดที่ดิน!AL39"")"),0)</f>
        <v>0</v>
      </c>
      <c r="K381" s="496">
        <f t="shared" ca="1" si="163"/>
        <v>0</v>
      </c>
      <c r="L381" s="163"/>
      <c r="M381" s="163"/>
      <c r="N381" s="163"/>
      <c r="O381" s="163"/>
      <c r="P381" s="163"/>
    </row>
    <row r="382" spans="1:26" ht="18.75">
      <c r="A382" s="469" t="s">
        <v>164</v>
      </c>
      <c r="B382" s="178"/>
      <c r="C382" s="171"/>
      <c r="D382" s="178"/>
      <c r="E382" s="446"/>
      <c r="F382" s="178"/>
      <c r="G382" s="179"/>
      <c r="H382" s="755" t="s">
        <v>46</v>
      </c>
      <c r="I382" s="269">
        <v>0</v>
      </c>
      <c r="J382" s="269">
        <f ca="1">IFERROR(__xludf.DUMMYFUNCTION("IMPORTRANGE(""https://docs.google.com/spreadsheets/d/1XWAQStnk-4SwqDmLtmXYiTMKHgktTP8We1SCoS47DrQ/edit?usp=sharing"",""จัดที่ดิน!AM39"")"),0)</f>
        <v>0</v>
      </c>
      <c r="K382" s="496">
        <f t="shared" si="163"/>
        <v>0</v>
      </c>
      <c r="L382" s="163"/>
      <c r="M382" s="163"/>
      <c r="N382" s="163"/>
      <c r="O382" s="163"/>
      <c r="P382" s="163"/>
    </row>
    <row r="383" spans="1:26" ht="19.5">
      <c r="A383" s="255"/>
      <c r="B383" s="263"/>
      <c r="C383" s="256"/>
      <c r="D383" s="855" t="s">
        <v>170</v>
      </c>
      <c r="E383" s="256"/>
      <c r="F383" s="256"/>
      <c r="G383" s="258"/>
      <c r="H383" s="454"/>
      <c r="I383" s="260"/>
      <c r="J383" s="260"/>
      <c r="K383" s="261"/>
      <c r="L383" s="261"/>
      <c r="M383" s="261"/>
      <c r="N383" s="261"/>
      <c r="O383" s="261"/>
      <c r="P383" s="261"/>
    </row>
    <row r="384" spans="1:26" ht="19.5">
      <c r="A384" s="170"/>
      <c r="B384" s="171"/>
      <c r="C384" s="33" t="s">
        <v>16</v>
      </c>
      <c r="D384" s="845" t="s">
        <v>38</v>
      </c>
      <c r="E384" s="173"/>
      <c r="F384" s="173"/>
      <c r="G384" s="174"/>
      <c r="H384" s="753"/>
      <c r="I384" s="269"/>
      <c r="J384" s="269"/>
      <c r="K384" s="496"/>
      <c r="L384" s="163"/>
      <c r="M384" s="163"/>
      <c r="N384" s="163"/>
      <c r="O384" s="163"/>
      <c r="P384" s="163"/>
    </row>
    <row r="385" spans="1:26" ht="18.75">
      <c r="A385" s="377"/>
      <c r="B385" s="380"/>
      <c r="C385" s="378"/>
      <c r="D385" s="380"/>
      <c r="E385" s="497" t="s">
        <v>163</v>
      </c>
      <c r="F385" s="380"/>
      <c r="G385" s="381"/>
      <c r="H385" s="498" t="s">
        <v>35</v>
      </c>
      <c r="I385" s="499">
        <f ca="1">IFERROR(__xludf.DUMMYFUNCTION("IMPORTRANGE(""https://docs.google.com/spreadsheets/d/1QqKyyYR6Q21VydFLVH3TRQUabQu_ym0Zz7PgGX0-kHA/edit?usp=sharing"",""แผน!EW39"")"),20)</f>
        <v>20</v>
      </c>
      <c r="J385" s="499">
        <f ca="1">IFERROR(__xludf.DUMMYFUNCTION("IMPORTRANGE(""https://docs.google.com/spreadsheets/d/1XWAQStnk-4SwqDmLtmXYiTMKHgktTP8We1SCoS47DrQ/edit?usp=sharing"",""จัดที่ดิน!AP39"")"),0)</f>
        <v>0</v>
      </c>
      <c r="K385" s="500">
        <f ca="1">IF(I385&gt;0,J385*100/I385,0)</f>
        <v>0</v>
      </c>
      <c r="L385" s="384"/>
      <c r="M385" s="384"/>
      <c r="N385" s="384"/>
      <c r="O385" s="384"/>
      <c r="P385" s="384"/>
    </row>
    <row r="386" spans="1:26" ht="19.5" hidden="1">
      <c r="A386" s="501" t="s">
        <v>171</v>
      </c>
      <c r="B386" s="502"/>
      <c r="C386" s="502"/>
      <c r="D386" s="502"/>
      <c r="E386" s="503"/>
      <c r="F386" s="503"/>
      <c r="G386" s="504"/>
      <c r="H386" s="505"/>
      <c r="I386" s="506"/>
      <c r="J386" s="506"/>
      <c r="K386" s="507"/>
      <c r="L386" s="507"/>
      <c r="M386" s="507"/>
      <c r="N386" s="507"/>
      <c r="O386" s="507"/>
      <c r="P386" s="507"/>
    </row>
    <row r="387" spans="1:26" ht="19.5" hidden="1">
      <c r="A387" s="508" t="s">
        <v>172</v>
      </c>
      <c r="B387" s="509"/>
      <c r="C387" s="509"/>
      <c r="D387" s="510"/>
      <c r="E387" s="509"/>
      <c r="F387" s="509"/>
      <c r="G387" s="509"/>
      <c r="H387" s="511"/>
      <c r="I387" s="512"/>
      <c r="J387" s="512"/>
      <c r="K387" s="513"/>
      <c r="L387" s="513"/>
      <c r="M387" s="513"/>
      <c r="N387" s="513"/>
      <c r="O387" s="513"/>
      <c r="P387" s="513"/>
    </row>
    <row r="388" spans="1:26" ht="19.5" hidden="1">
      <c r="A388" s="514"/>
      <c r="B388" s="515" t="s">
        <v>173</v>
      </c>
      <c r="C388" s="516"/>
      <c r="D388" s="517"/>
      <c r="E388" s="517"/>
      <c r="F388" s="517"/>
      <c r="G388" s="518"/>
      <c r="H388" s="519" t="s">
        <v>69</v>
      </c>
      <c r="I388" s="520">
        <f t="shared" ref="I388:J388" si="164">I400</f>
        <v>0</v>
      </c>
      <c r="J388" s="520">
        <f t="shared" si="164"/>
        <v>0</v>
      </c>
      <c r="K388" s="521">
        <f>IF(I388&gt;0,J388*100/I388,0)</f>
        <v>0</v>
      </c>
      <c r="L388" s="522"/>
      <c r="M388" s="522"/>
      <c r="N388" s="522"/>
      <c r="O388" s="522"/>
      <c r="P388" s="522"/>
    </row>
    <row r="389" spans="1:26" ht="19.5" hidden="1">
      <c r="A389" s="147"/>
      <c r="B389" s="148"/>
      <c r="C389" s="149" t="s">
        <v>16</v>
      </c>
      <c r="D389" s="844" t="s">
        <v>17</v>
      </c>
      <c r="E389" s="148"/>
      <c r="F389" s="148"/>
      <c r="G389" s="151"/>
      <c r="H389" s="152" t="s">
        <v>12</v>
      </c>
      <c r="I389" s="419"/>
      <c r="J389" s="419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2" t="s">
        <v>18</v>
      </c>
      <c r="F390" s="40"/>
      <c r="G390" s="157"/>
      <c r="H390" s="158" t="s">
        <v>12</v>
      </c>
      <c r="I390" s="610"/>
      <c r="J390" s="610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2" t="s">
        <v>19</v>
      </c>
      <c r="F391" s="40"/>
      <c r="G391" s="157"/>
      <c r="H391" s="158" t="s">
        <v>12</v>
      </c>
      <c r="I391" s="610"/>
      <c r="J391" s="610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1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6">
        <f t="shared" ref="L392:N392" ca="1" si="169">L393+L394</f>
        <v>0</v>
      </c>
      <c r="M392" s="496">
        <f t="shared" ca="1" si="169"/>
        <v>0</v>
      </c>
      <c r="N392" s="496">
        <f t="shared" ca="1" si="169"/>
        <v>0</v>
      </c>
      <c r="O392" s="496">
        <f t="shared" ca="1" si="166"/>
        <v>0</v>
      </c>
      <c r="P392" s="496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2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2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1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6">
        <f t="shared" ref="L395:N395" ca="1" si="170">L396+L397</f>
        <v>0</v>
      </c>
      <c r="M395" s="496">
        <f t="shared" ca="1" si="170"/>
        <v>0</v>
      </c>
      <c r="N395" s="496">
        <f t="shared" ca="1" si="170"/>
        <v>0</v>
      </c>
      <c r="O395" s="496">
        <f t="shared" ca="1" si="166"/>
        <v>0</v>
      </c>
      <c r="P395" s="496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2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2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5" t="s">
        <v>38</v>
      </c>
      <c r="E398" s="173"/>
      <c r="F398" s="173"/>
      <c r="G398" s="174"/>
      <c r="H398" s="753"/>
      <c r="I398" s="184"/>
      <c r="J398" s="269"/>
      <c r="K398" s="496"/>
      <c r="L398" s="496"/>
      <c r="M398" s="496"/>
      <c r="N398" s="496"/>
      <c r="O398" s="163"/>
      <c r="P398" s="163"/>
    </row>
    <row r="399" spans="1:26" ht="18.75" hidden="1">
      <c r="A399" s="523"/>
      <c r="B399" s="148"/>
      <c r="C399" s="524"/>
      <c r="D399" s="525" t="s">
        <v>174</v>
      </c>
      <c r="E399" s="414"/>
      <c r="F399" s="148"/>
      <c r="G399" s="151"/>
      <c r="H399" s="526" t="s">
        <v>9</v>
      </c>
      <c r="I399" s="269">
        <v>0</v>
      </c>
      <c r="J399" s="214">
        <v>0</v>
      </c>
      <c r="K399" s="496">
        <f t="shared" ref="K399:K401" si="171">IF(I399&gt;0,J399*100/I399,0)</f>
        <v>0</v>
      </c>
      <c r="L399" s="527"/>
      <c r="M399" s="527"/>
      <c r="N399" s="527"/>
      <c r="O399" s="527"/>
      <c r="P399" s="527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3"/>
      <c r="B400" s="33"/>
      <c r="C400" s="280"/>
      <c r="D400" s="446" t="s">
        <v>175</v>
      </c>
      <c r="E400" s="171"/>
      <c r="F400" s="33"/>
      <c r="G400" s="35"/>
      <c r="H400" s="276" t="s">
        <v>69</v>
      </c>
      <c r="I400" s="269">
        <v>0</v>
      </c>
      <c r="J400" s="214">
        <v>0</v>
      </c>
      <c r="K400" s="496">
        <f t="shared" si="171"/>
        <v>0</v>
      </c>
      <c r="L400" s="496"/>
      <c r="M400" s="496"/>
      <c r="N400" s="496"/>
      <c r="O400" s="496"/>
      <c r="P400" s="496"/>
    </row>
    <row r="401" spans="1:26" ht="19.5" hidden="1">
      <c r="A401" s="514"/>
      <c r="B401" s="515" t="s">
        <v>176</v>
      </c>
      <c r="C401" s="516"/>
      <c r="D401" s="517"/>
      <c r="E401" s="517"/>
      <c r="F401" s="517"/>
      <c r="G401" s="518"/>
      <c r="H401" s="519" t="s">
        <v>69</v>
      </c>
      <c r="I401" s="520">
        <f t="shared" ref="I401:J401" si="172">I412</f>
        <v>0</v>
      </c>
      <c r="J401" s="520">
        <f t="shared" si="172"/>
        <v>0</v>
      </c>
      <c r="K401" s="521">
        <f t="shared" si="171"/>
        <v>0</v>
      </c>
      <c r="L401" s="522"/>
      <c r="M401" s="522"/>
      <c r="N401" s="522"/>
      <c r="O401" s="522"/>
      <c r="P401" s="522"/>
    </row>
    <row r="402" spans="1:26" ht="19.5" hidden="1">
      <c r="A402" s="147"/>
      <c r="B402" s="148"/>
      <c r="C402" s="149" t="s">
        <v>16</v>
      </c>
      <c r="D402" s="844" t="s">
        <v>17</v>
      </c>
      <c r="E402" s="148"/>
      <c r="F402" s="148"/>
      <c r="G402" s="151"/>
      <c r="H402" s="152" t="s">
        <v>12</v>
      </c>
      <c r="I402" s="419"/>
      <c r="J402" s="419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2" t="s">
        <v>18</v>
      </c>
      <c r="F403" s="40"/>
      <c r="G403" s="157"/>
      <c r="H403" s="158" t="s">
        <v>12</v>
      </c>
      <c r="I403" s="610"/>
      <c r="J403" s="610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2" t="s">
        <v>19</v>
      </c>
      <c r="F404" s="40"/>
      <c r="G404" s="157"/>
      <c r="H404" s="158" t="s">
        <v>12</v>
      </c>
      <c r="I404" s="610"/>
      <c r="J404" s="610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1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6">
        <f t="shared" ref="L405:N405" ca="1" si="177">L406+L407</f>
        <v>0</v>
      </c>
      <c r="M405" s="496">
        <f t="shared" ca="1" si="177"/>
        <v>0</v>
      </c>
      <c r="N405" s="496">
        <f t="shared" ca="1" si="177"/>
        <v>0</v>
      </c>
      <c r="O405" s="496">
        <f t="shared" ca="1" si="174"/>
        <v>0</v>
      </c>
      <c r="P405" s="496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2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2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1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6">
        <f t="shared" ref="L408:N408" ca="1" si="178">L409+L410</f>
        <v>0</v>
      </c>
      <c r="M408" s="496">
        <f t="shared" ca="1" si="178"/>
        <v>0</v>
      </c>
      <c r="N408" s="496">
        <f t="shared" ca="1" si="178"/>
        <v>0</v>
      </c>
      <c r="O408" s="496">
        <f t="shared" ca="1" si="174"/>
        <v>0</v>
      </c>
      <c r="P408" s="496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2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2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7" t="s">
        <v>38</v>
      </c>
      <c r="E411" s="529"/>
      <c r="F411" s="529"/>
      <c r="G411" s="530"/>
      <c r="H411" s="753"/>
      <c r="I411" s="269"/>
      <c r="J411" s="269"/>
      <c r="K411" s="496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6" t="s">
        <v>177</v>
      </c>
      <c r="E412" s="178"/>
      <c r="F412" s="178"/>
      <c r="G412" s="179"/>
      <c r="H412" s="531" t="s">
        <v>69</v>
      </c>
      <c r="I412" s="269">
        <v>0</v>
      </c>
      <c r="J412" s="214">
        <v>0</v>
      </c>
      <c r="K412" s="496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2"/>
      <c r="B413" s="533"/>
      <c r="C413" s="533"/>
      <c r="D413" s="534" t="s">
        <v>178</v>
      </c>
      <c r="E413" s="533"/>
      <c r="F413" s="533"/>
      <c r="G413" s="535"/>
      <c r="H413" s="536" t="s">
        <v>179</v>
      </c>
      <c r="I413" s="537">
        <v>0</v>
      </c>
      <c r="J413" s="538">
        <v>0</v>
      </c>
      <c r="K413" s="539">
        <f t="shared" si="179"/>
        <v>0</v>
      </c>
      <c r="L413" s="540"/>
      <c r="M413" s="540"/>
      <c r="N413" s="540"/>
      <c r="O413" s="540"/>
      <c r="P413" s="540"/>
    </row>
    <row r="414" spans="1:26" ht="19.5">
      <c r="A414" s="541" t="s">
        <v>180</v>
      </c>
      <c r="B414" s="542"/>
      <c r="C414" s="542"/>
      <c r="D414" s="542"/>
      <c r="E414" s="542"/>
      <c r="F414" s="542"/>
      <c r="G414" s="543"/>
      <c r="H414" s="544"/>
      <c r="I414" s="545"/>
      <c r="J414" s="545"/>
      <c r="K414" s="546"/>
      <c r="L414" s="547">
        <f t="shared" ref="L414:N414" ca="1" si="180">L419+L444+L467+L502+L523+L544+L629+L655+L685+L737+L754+L770+L786+L805</f>
        <v>2360122</v>
      </c>
      <c r="M414" s="547">
        <f t="shared" si="180"/>
        <v>0</v>
      </c>
      <c r="N414" s="547">
        <f t="shared" si="180"/>
        <v>0</v>
      </c>
      <c r="O414" s="547">
        <f ca="1">IF(L414&gt;0,N414*100/L414,0)</f>
        <v>0</v>
      </c>
      <c r="P414" s="547">
        <f>IF(M414&gt;0,N414*100/M414,0)</f>
        <v>0</v>
      </c>
    </row>
    <row r="415" spans="1:26" ht="19.5">
      <c r="A415" s="548" t="s">
        <v>181</v>
      </c>
      <c r="B415" s="549"/>
      <c r="C415" s="549"/>
      <c r="D415" s="549"/>
      <c r="E415" s="549"/>
      <c r="F415" s="549"/>
      <c r="G415" s="549"/>
      <c r="H415" s="550"/>
      <c r="I415" s="551"/>
      <c r="J415" s="551"/>
      <c r="K415" s="552"/>
      <c r="L415" s="553"/>
      <c r="M415" s="553"/>
      <c r="N415" s="553"/>
      <c r="O415" s="553"/>
      <c r="P415" s="553"/>
    </row>
    <row r="416" spans="1:26" ht="19.5">
      <c r="A416" s="548" t="s">
        <v>182</v>
      </c>
      <c r="B416" s="549"/>
      <c r="C416" s="549"/>
      <c r="D416" s="549"/>
      <c r="E416" s="549"/>
      <c r="F416" s="549"/>
      <c r="G416" s="554"/>
      <c r="H416" s="555"/>
      <c r="I416" s="556"/>
      <c r="J416" s="556"/>
      <c r="K416" s="553"/>
      <c r="L416" s="553"/>
      <c r="M416" s="553"/>
      <c r="N416" s="553"/>
      <c r="O416" s="553"/>
      <c r="P416" s="553"/>
    </row>
    <row r="417" spans="1:26" ht="20.25" customHeight="1">
      <c r="A417" s="557">
        <v>1</v>
      </c>
      <c r="B417" s="559" t="s">
        <v>183</v>
      </c>
      <c r="C417" s="559"/>
      <c r="D417" s="560"/>
      <c r="E417" s="560"/>
      <c r="F417" s="560"/>
      <c r="G417" s="561"/>
      <c r="H417" s="562" t="s">
        <v>35</v>
      </c>
      <c r="I417" s="563">
        <f t="shared" ref="I417:J418" ca="1" si="181">I433</f>
        <v>20</v>
      </c>
      <c r="J417" s="563">
        <f t="shared" ca="1" si="181"/>
        <v>0</v>
      </c>
      <c r="K417" s="564">
        <f t="shared" ref="K417:K418" ca="1" si="182">IF(I417&gt;0,J417*100/I417,0)</f>
        <v>0</v>
      </c>
      <c r="L417" s="565"/>
      <c r="M417" s="565"/>
      <c r="N417" s="565"/>
      <c r="O417" s="565"/>
      <c r="P417" s="565"/>
    </row>
    <row r="418" spans="1:26" ht="19.5">
      <c r="A418" s="566"/>
      <c r="B418" s="557"/>
      <c r="C418" s="559"/>
      <c r="D418" s="560"/>
      <c r="E418" s="560"/>
      <c r="F418" s="560"/>
      <c r="G418" s="561"/>
      <c r="H418" s="562" t="s">
        <v>49</v>
      </c>
      <c r="I418" s="563">
        <f t="shared" ca="1" si="181"/>
        <v>1</v>
      </c>
      <c r="J418" s="563">
        <f t="shared" si="181"/>
        <v>0</v>
      </c>
      <c r="K418" s="564">
        <f t="shared" ca="1" si="182"/>
        <v>0</v>
      </c>
      <c r="L418" s="565"/>
      <c r="M418" s="565"/>
      <c r="N418" s="565"/>
      <c r="O418" s="565"/>
      <c r="P418" s="565"/>
    </row>
    <row r="419" spans="1:26" ht="19.5">
      <c r="A419" s="147"/>
      <c r="B419" s="148"/>
      <c r="C419" s="148" t="s">
        <v>16</v>
      </c>
      <c r="D419" s="858" t="s">
        <v>17</v>
      </c>
      <c r="E419" s="837"/>
      <c r="F419" s="837"/>
      <c r="G419" s="151"/>
      <c r="H419" s="274" t="s">
        <v>12</v>
      </c>
      <c r="I419" s="419"/>
      <c r="J419" s="419"/>
      <c r="K419" s="154"/>
      <c r="L419" s="155">
        <f t="shared" ref="L419:N419" ca="1" si="183">L420+L421</f>
        <v>78660</v>
      </c>
      <c r="M419" s="155">
        <f t="shared" si="183"/>
        <v>0</v>
      </c>
      <c r="N419" s="155">
        <f t="shared" si="183"/>
        <v>0</v>
      </c>
      <c r="O419" s="155">
        <f t="shared" ref="O419:O424" ca="1" si="184">IF(L419&gt;0,N419*100/L419,0)</f>
        <v>0</v>
      </c>
      <c r="P419" s="155">
        <f t="shared" ref="P419:P424" si="185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2"/>
      <c r="E420" s="222" t="s">
        <v>184</v>
      </c>
      <c r="F420" s="40"/>
      <c r="G420" s="157"/>
      <c r="H420" s="165" t="s">
        <v>12</v>
      </c>
      <c r="I420" s="610"/>
      <c r="J420" s="610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2"/>
      <c r="E421" s="222" t="s">
        <v>185</v>
      </c>
      <c r="F421" s="40"/>
      <c r="G421" s="157"/>
      <c r="H421" s="165" t="s">
        <v>12</v>
      </c>
      <c r="I421" s="610"/>
      <c r="J421" s="610"/>
      <c r="K421" s="93"/>
      <c r="L421" s="93">
        <f t="shared" ca="1" si="186"/>
        <v>78660</v>
      </c>
      <c r="M421" s="93">
        <f t="shared" si="186"/>
        <v>0</v>
      </c>
      <c r="N421" s="93">
        <f t="shared" si="186"/>
        <v>0</v>
      </c>
      <c r="O421" s="93">
        <f t="shared" ca="1" si="184"/>
        <v>0</v>
      </c>
      <c r="P421" s="93">
        <f t="shared" si="185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0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6">
        <f t="shared" ref="L422:N422" ca="1" si="187">L423+L424</f>
        <v>78660</v>
      </c>
      <c r="M422" s="496">
        <f t="shared" si="187"/>
        <v>0</v>
      </c>
      <c r="N422" s="496">
        <f t="shared" si="187"/>
        <v>0</v>
      </c>
      <c r="O422" s="496">
        <f t="shared" ca="1" si="184"/>
        <v>0</v>
      </c>
      <c r="P422" s="496">
        <f t="shared" si="185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2"/>
      <c r="E423" s="222" t="s">
        <v>184</v>
      </c>
      <c r="F423" s="40"/>
      <c r="G423" s="157"/>
      <c r="H423" s="165" t="s">
        <v>12</v>
      </c>
      <c r="I423" s="610"/>
      <c r="J423" s="610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2"/>
      <c r="E424" s="222" t="s">
        <v>185</v>
      </c>
      <c r="F424" s="40"/>
      <c r="G424" s="157"/>
      <c r="H424" s="165" t="s">
        <v>12</v>
      </c>
      <c r="I424" s="610"/>
      <c r="J424" s="610"/>
      <c r="K424" s="93"/>
      <c r="L424" s="93">
        <f ca="1">IFERROR(__xludf.DUMMYFUNCTION("IMPORTRANGE(""https://docs.google.com/spreadsheets/d/1QqKyyYR6Q21VydFLVH3TRQUabQu_ym0Zz7PgGX0-kHA/edit?usp=sharing"",""แผน!EY39"")"),78660)</f>
        <v>78660</v>
      </c>
      <c r="M424" s="93">
        <v>0</v>
      </c>
      <c r="N424" s="93">
        <f>N425+N426+N427+N428</f>
        <v>0</v>
      </c>
      <c r="O424" s="93">
        <f t="shared" ca="1" si="184"/>
        <v>0</v>
      </c>
      <c r="P424" s="93">
        <f t="shared" si="185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7"/>
      <c r="B425" s="568"/>
      <c r="C425" s="754"/>
      <c r="D425" s="754"/>
      <c r="E425" s="754"/>
      <c r="F425" s="754" t="s">
        <v>186</v>
      </c>
      <c r="G425" s="189"/>
      <c r="H425" s="161" t="s">
        <v>12</v>
      </c>
      <c r="I425" s="269"/>
      <c r="J425" s="269"/>
      <c r="K425" s="496"/>
      <c r="L425" s="496"/>
      <c r="M425" s="496"/>
      <c r="N425" s="816">
        <v>0</v>
      </c>
      <c r="O425" s="496"/>
      <c r="P425" s="496"/>
      <c r="Q425" s="571"/>
      <c r="R425" s="571"/>
      <c r="S425" s="571"/>
      <c r="T425" s="571"/>
      <c r="U425" s="571"/>
      <c r="V425" s="571"/>
      <c r="W425" s="571"/>
      <c r="X425" s="571"/>
      <c r="Y425" s="571"/>
      <c r="Z425" s="571"/>
    </row>
    <row r="426" spans="1:26" ht="18.75">
      <c r="A426" s="567"/>
      <c r="B426" s="568"/>
      <c r="C426" s="754"/>
      <c r="D426" s="754"/>
      <c r="E426" s="754"/>
      <c r="F426" s="754" t="s">
        <v>187</v>
      </c>
      <c r="G426" s="189"/>
      <c r="H426" s="161" t="s">
        <v>12</v>
      </c>
      <c r="I426" s="269"/>
      <c r="J426" s="269"/>
      <c r="K426" s="496"/>
      <c r="L426" s="496"/>
      <c r="M426" s="496"/>
      <c r="N426" s="816">
        <v>0</v>
      </c>
      <c r="O426" s="496"/>
      <c r="P426" s="496"/>
      <c r="Q426" s="571"/>
      <c r="R426" s="571"/>
      <c r="S426" s="571"/>
      <c r="T426" s="571"/>
      <c r="U426" s="571"/>
      <c r="V426" s="571"/>
      <c r="W426" s="571"/>
      <c r="X426" s="571"/>
      <c r="Y426" s="571"/>
      <c r="Z426" s="571"/>
    </row>
    <row r="427" spans="1:26" ht="18.75">
      <c r="A427" s="567"/>
      <c r="B427" s="568"/>
      <c r="C427" s="754"/>
      <c r="D427" s="754"/>
      <c r="E427" s="754"/>
      <c r="F427" s="754" t="s">
        <v>188</v>
      </c>
      <c r="G427" s="189"/>
      <c r="H427" s="161" t="s">
        <v>12</v>
      </c>
      <c r="I427" s="269"/>
      <c r="J427" s="269"/>
      <c r="K427" s="496"/>
      <c r="L427" s="496"/>
      <c r="M427" s="496"/>
      <c r="N427" s="816">
        <v>0</v>
      </c>
      <c r="O427" s="496"/>
      <c r="P427" s="496"/>
      <c r="Q427" s="571"/>
      <c r="R427" s="571"/>
      <c r="S427" s="571"/>
      <c r="T427" s="571"/>
      <c r="U427" s="571"/>
      <c r="V427" s="571"/>
      <c r="W427" s="571"/>
      <c r="X427" s="571"/>
      <c r="Y427" s="571"/>
      <c r="Z427" s="571"/>
    </row>
    <row r="428" spans="1:26" ht="18.75">
      <c r="A428" s="283"/>
      <c r="B428" s="280"/>
      <c r="C428" s="33"/>
      <c r="D428" s="33"/>
      <c r="E428" s="33"/>
      <c r="F428" s="281" t="s">
        <v>189</v>
      </c>
      <c r="G428" s="213"/>
      <c r="H428" s="161" t="s">
        <v>12</v>
      </c>
      <c r="I428" s="269"/>
      <c r="J428" s="269"/>
      <c r="K428" s="496"/>
      <c r="L428" s="496"/>
      <c r="M428" s="496"/>
      <c r="N428" s="816">
        <v>0</v>
      </c>
      <c r="O428" s="496"/>
      <c r="P428" s="496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0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6">
        <f t="shared" ref="L429:N429" ca="1" si="188">L430+L431</f>
        <v>0</v>
      </c>
      <c r="M429" s="496">
        <f t="shared" si="188"/>
        <v>0</v>
      </c>
      <c r="N429" s="496">
        <f t="shared" si="188"/>
        <v>0</v>
      </c>
      <c r="O429" s="496">
        <f t="shared" ref="O429:O431" ca="1" si="189">IF(L429&gt;0,N429*100/L429,0)</f>
        <v>0</v>
      </c>
      <c r="P429" s="496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6"/>
      <c r="C430" s="40"/>
      <c r="D430" s="40"/>
      <c r="E430" s="222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6"/>
      <c r="C431" s="40"/>
      <c r="D431" s="40"/>
      <c r="E431" s="222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3"/>
      <c r="B432" s="414"/>
      <c r="C432" s="148" t="s">
        <v>16</v>
      </c>
      <c r="D432" s="859" t="s">
        <v>38</v>
      </c>
      <c r="E432" s="573"/>
      <c r="F432" s="573"/>
      <c r="G432" s="574"/>
      <c r="H432" s="575"/>
      <c r="I432" s="419"/>
      <c r="J432" s="419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4">
        <f ca="1">I435</f>
        <v>20</v>
      </c>
      <c r="J433" s="674">
        <f ca="1">IF(AND(J435=I435,J437=I437,J439=I439),I437+I439,IF(AND(J435=I437,J437=I437),I437,IF(AND(J435=I439,J439=I439),I439,0)))</f>
        <v>0</v>
      </c>
      <c r="K433" s="195">
        <f t="shared" ref="K433:K435" ca="1" si="191">IF(I433&gt;0,J433*100/I433,0)</f>
        <v>0</v>
      </c>
      <c r="L433" s="496"/>
      <c r="M433" s="496"/>
      <c r="N433" s="496"/>
      <c r="O433" s="496"/>
      <c r="P433" s="496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4">
        <f t="shared" ref="I434:J434" ca="1" si="192">I438+I440</f>
        <v>1</v>
      </c>
      <c r="J434" s="674">
        <f t="shared" si="192"/>
        <v>0</v>
      </c>
      <c r="K434" s="195">
        <f t="shared" ca="1" si="191"/>
        <v>0</v>
      </c>
      <c r="L434" s="496"/>
      <c r="M434" s="496"/>
      <c r="N434" s="496"/>
      <c r="O434" s="496"/>
      <c r="P434" s="496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6" t="s">
        <v>192</v>
      </c>
      <c r="E435" s="178"/>
      <c r="F435" s="178"/>
      <c r="G435" s="179"/>
      <c r="H435" s="616" t="s">
        <v>35</v>
      </c>
      <c r="I435" s="576">
        <f ca="1">IFERROR(__xludf.DUMMYFUNCTION("IMPORTRANGE(""https://docs.google.com/spreadsheets/d/1QqKyyYR6Q21VydFLVH3TRQUabQu_ym0Zz7PgGX0-kHA/edit?usp=sharing"",""แผน!FC39"")"),20)</f>
        <v>20</v>
      </c>
      <c r="J435" s="577">
        <v>0</v>
      </c>
      <c r="K435" s="496">
        <f t="shared" ca="1" si="191"/>
        <v>0</v>
      </c>
      <c r="L435" s="496"/>
      <c r="M435" s="496"/>
      <c r="N435" s="496"/>
      <c r="O435" s="496"/>
      <c r="P435" s="496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6" t="s">
        <v>193</v>
      </c>
      <c r="E436" s="178"/>
      <c r="F436" s="178"/>
      <c r="G436" s="179"/>
      <c r="H436" s="616"/>
      <c r="I436" s="269"/>
      <c r="J436" s="269"/>
      <c r="K436" s="496"/>
      <c r="L436" s="496"/>
      <c r="M436" s="496"/>
      <c r="N436" s="496"/>
      <c r="O436" s="496"/>
      <c r="P436" s="496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6" t="s">
        <v>194</v>
      </c>
      <c r="E437" s="178"/>
      <c r="F437" s="178"/>
      <c r="G437" s="179"/>
      <c r="H437" s="616" t="s">
        <v>35</v>
      </c>
      <c r="I437" s="576">
        <f ca="1">IFERROR(__xludf.DUMMYFUNCTION("IMPORTRANGE(""https://docs.google.com/spreadsheets/d/1QqKyyYR6Q21VydFLVH3TRQUabQu_ym0Zz7PgGX0-kHA/edit?usp=sharing"",""แผน!FD39"")"),0)</f>
        <v>0</v>
      </c>
      <c r="J437" s="577">
        <v>0</v>
      </c>
      <c r="K437" s="496">
        <f t="shared" ref="K437:K443" ca="1" si="193">IF(I437&gt;0,J437*100/I437,0)</f>
        <v>0</v>
      </c>
      <c r="L437" s="496"/>
      <c r="M437" s="496"/>
      <c r="N437" s="496"/>
      <c r="O437" s="496"/>
      <c r="P437" s="496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6" t="s">
        <v>195</v>
      </c>
      <c r="E438" s="178"/>
      <c r="F438" s="178"/>
      <c r="G438" s="179"/>
      <c r="H438" s="616" t="s">
        <v>49</v>
      </c>
      <c r="I438" s="269">
        <f ca="1">IFERROR(__xludf.DUMMYFUNCTION("IMPORTRANGE(""https://docs.google.com/spreadsheets/d/1QqKyyYR6Q21VydFLVH3TRQUabQu_ym0Zz7PgGX0-kHA/edit?usp=sharing"",""แผน!FE39"")"),0)</f>
        <v>0</v>
      </c>
      <c r="J438" s="214">
        <v>0</v>
      </c>
      <c r="K438" s="496">
        <f t="shared" ca="1" si="193"/>
        <v>0</v>
      </c>
      <c r="L438" s="496"/>
      <c r="M438" s="496"/>
      <c r="N438" s="496"/>
      <c r="O438" s="496"/>
      <c r="P438" s="496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6" t="s">
        <v>196</v>
      </c>
      <c r="E439" s="178"/>
      <c r="F439" s="178"/>
      <c r="G439" s="179"/>
      <c r="H439" s="616" t="s">
        <v>35</v>
      </c>
      <c r="I439" s="576">
        <f ca="1">IFERROR(__xludf.DUMMYFUNCTION("IMPORTRANGE(""https://docs.google.com/spreadsheets/d/1QqKyyYR6Q21VydFLVH3TRQUabQu_ym0Zz7PgGX0-kHA/edit?usp=sharing"",""แผน!FF39"")"),20)</f>
        <v>20</v>
      </c>
      <c r="J439" s="577">
        <v>0</v>
      </c>
      <c r="K439" s="496">
        <f t="shared" ca="1" si="193"/>
        <v>0</v>
      </c>
      <c r="L439" s="496"/>
      <c r="M439" s="496"/>
      <c r="N439" s="496"/>
      <c r="O439" s="496"/>
      <c r="P439" s="496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6" t="s">
        <v>197</v>
      </c>
      <c r="E440" s="178"/>
      <c r="F440" s="178"/>
      <c r="G440" s="179"/>
      <c r="H440" s="616" t="s">
        <v>49</v>
      </c>
      <c r="I440" s="269">
        <f ca="1">IFERROR(__xludf.DUMMYFUNCTION("IMPORTRANGE(""https://docs.google.com/spreadsheets/d/1QqKyyYR6Q21VydFLVH3TRQUabQu_ym0Zz7PgGX0-kHA/edit?usp=sharing"",""แผน!FG39"")"),1)</f>
        <v>1</v>
      </c>
      <c r="J440" s="214">
        <v>0</v>
      </c>
      <c r="K440" s="496">
        <f t="shared" ca="1" si="193"/>
        <v>0</v>
      </c>
      <c r="L440" s="496"/>
      <c r="M440" s="496"/>
      <c r="N440" s="496"/>
      <c r="O440" s="496"/>
      <c r="P440" s="496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6" t="s">
        <v>198</v>
      </c>
      <c r="E441" s="178"/>
      <c r="F441" s="178"/>
      <c r="G441" s="179"/>
      <c r="H441" s="616" t="s">
        <v>35</v>
      </c>
      <c r="I441" s="269">
        <f ca="1">IFERROR(__xludf.DUMMYFUNCTION("IMPORTRANGE(""https://docs.google.com/spreadsheets/d/1QqKyyYR6Q21VydFLVH3TRQUabQu_ym0Zz7PgGX0-kHA/edit?usp=sharing"",""แผน!FH39"")"),0)</f>
        <v>0</v>
      </c>
      <c r="J441" s="269">
        <v>0</v>
      </c>
      <c r="K441" s="496">
        <f t="shared" ca="1" si="193"/>
        <v>0</v>
      </c>
      <c r="L441" s="496"/>
      <c r="M441" s="496"/>
      <c r="N441" s="496"/>
      <c r="O441" s="496"/>
      <c r="P441" s="496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8">
        <v>2</v>
      </c>
      <c r="B442" s="579" t="s">
        <v>199</v>
      </c>
      <c r="C442" s="580"/>
      <c r="D442" s="580"/>
      <c r="E442" s="580"/>
      <c r="F442" s="580"/>
      <c r="G442" s="581"/>
      <c r="H442" s="582" t="s">
        <v>35</v>
      </c>
      <c r="I442" s="583">
        <f t="shared" ref="I442:J442" ca="1" si="194">I460</f>
        <v>100</v>
      </c>
      <c r="J442" s="583">
        <f t="shared" si="194"/>
        <v>0</v>
      </c>
      <c r="K442" s="584">
        <f t="shared" ca="1" si="193"/>
        <v>0</v>
      </c>
      <c r="L442" s="585"/>
      <c r="M442" s="585"/>
      <c r="N442" s="585"/>
      <c r="O442" s="585"/>
      <c r="P442" s="585"/>
      <c r="Q442" s="571"/>
      <c r="R442" s="571"/>
      <c r="S442" s="571"/>
      <c r="T442" s="571"/>
      <c r="U442" s="571"/>
      <c r="V442" s="571"/>
      <c r="W442" s="571"/>
      <c r="X442" s="571"/>
      <c r="Y442" s="571"/>
      <c r="Z442" s="571"/>
    </row>
    <row r="443" spans="1:26" ht="19.5">
      <c r="A443" s="586"/>
      <c r="B443" s="587"/>
      <c r="C443" s="588"/>
      <c r="D443" s="588"/>
      <c r="E443" s="588"/>
      <c r="F443" s="588"/>
      <c r="G443" s="589"/>
      <c r="H443" s="562" t="s">
        <v>46</v>
      </c>
      <c r="I443" s="563">
        <f t="shared" ref="I443:J443" ca="1" si="195">I462</f>
        <v>240</v>
      </c>
      <c r="J443" s="563">
        <f t="shared" si="195"/>
        <v>0</v>
      </c>
      <c r="K443" s="564">
        <f t="shared" ca="1" si="193"/>
        <v>0</v>
      </c>
      <c r="L443" s="565"/>
      <c r="M443" s="565"/>
      <c r="N443" s="565"/>
      <c r="O443" s="565"/>
      <c r="P443" s="565"/>
      <c r="Q443" s="571"/>
      <c r="R443" s="571"/>
      <c r="S443" s="571"/>
      <c r="T443" s="571"/>
      <c r="U443" s="571"/>
      <c r="V443" s="571"/>
      <c r="W443" s="571"/>
      <c r="X443" s="571"/>
      <c r="Y443" s="571"/>
      <c r="Z443" s="571"/>
    </row>
    <row r="444" spans="1:26" ht="19.5">
      <c r="A444" s="590"/>
      <c r="B444" s="754"/>
      <c r="C444" s="754" t="s">
        <v>16</v>
      </c>
      <c r="D444" s="838" t="s">
        <v>17</v>
      </c>
      <c r="E444" s="832"/>
      <c r="F444" s="832"/>
      <c r="G444" s="189"/>
      <c r="H444" s="591" t="s">
        <v>12</v>
      </c>
      <c r="I444" s="269"/>
      <c r="J444" s="269"/>
      <c r="K444" s="496"/>
      <c r="L444" s="195">
        <f t="shared" ref="L444:N444" ca="1" si="196">L445+L446</f>
        <v>572280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1"/>
      <c r="R444" s="571"/>
      <c r="S444" s="571"/>
      <c r="T444" s="571"/>
      <c r="U444" s="571"/>
      <c r="V444" s="571"/>
      <c r="W444" s="571"/>
      <c r="X444" s="571"/>
      <c r="Y444" s="571"/>
      <c r="Z444" s="571"/>
    </row>
    <row r="445" spans="1:26" ht="18.75" hidden="1">
      <c r="A445" s="592"/>
      <c r="B445" s="750"/>
      <c r="C445" s="750"/>
      <c r="D445" s="711"/>
      <c r="E445" s="750" t="s">
        <v>184</v>
      </c>
      <c r="F445" s="750"/>
      <c r="G445" s="596"/>
      <c r="H445" s="165" t="s">
        <v>12</v>
      </c>
      <c r="I445" s="610"/>
      <c r="J445" s="610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7"/>
      <c r="R445" s="597"/>
      <c r="S445" s="597"/>
      <c r="T445" s="597"/>
      <c r="U445" s="597"/>
      <c r="V445" s="597"/>
      <c r="W445" s="597"/>
      <c r="X445" s="597"/>
      <c r="Y445" s="597"/>
      <c r="Z445" s="597"/>
    </row>
    <row r="446" spans="1:26" ht="18.75" hidden="1">
      <c r="A446" s="592"/>
      <c r="B446" s="600"/>
      <c r="C446" s="750"/>
      <c r="D446" s="711"/>
      <c r="E446" s="750" t="s">
        <v>185</v>
      </c>
      <c r="F446" s="750"/>
      <c r="G446" s="596"/>
      <c r="H446" s="165" t="s">
        <v>12</v>
      </c>
      <c r="I446" s="610"/>
      <c r="J446" s="610"/>
      <c r="K446" s="93"/>
      <c r="L446" s="93">
        <f t="shared" ca="1" si="199"/>
        <v>572280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7"/>
      <c r="R446" s="597"/>
      <c r="S446" s="597"/>
      <c r="T446" s="597"/>
      <c r="U446" s="597"/>
      <c r="V446" s="597"/>
      <c r="W446" s="597"/>
      <c r="X446" s="597"/>
      <c r="Y446" s="597"/>
      <c r="Z446" s="597"/>
    </row>
    <row r="447" spans="1:26" ht="18.75">
      <c r="A447" s="590"/>
      <c r="B447" s="568"/>
      <c r="C447" s="754"/>
      <c r="D447" s="599" t="s">
        <v>20</v>
      </c>
      <c r="E447" s="754"/>
      <c r="F447" s="754"/>
      <c r="G447" s="189"/>
      <c r="H447" s="161" t="s">
        <v>12</v>
      </c>
      <c r="I447" s="184"/>
      <c r="J447" s="184"/>
      <c r="K447" s="163"/>
      <c r="L447" s="496">
        <f t="shared" ref="L447:N447" ca="1" si="200">L448+L449</f>
        <v>572280</v>
      </c>
      <c r="M447" s="496">
        <f t="shared" si="200"/>
        <v>0</v>
      </c>
      <c r="N447" s="496">
        <f t="shared" si="200"/>
        <v>0</v>
      </c>
      <c r="O447" s="496">
        <f t="shared" ca="1" si="197"/>
        <v>0</v>
      </c>
      <c r="P447" s="496">
        <f t="shared" si="198"/>
        <v>0</v>
      </c>
      <c r="Q447" s="571"/>
      <c r="R447" s="571"/>
      <c r="S447" s="571"/>
      <c r="T447" s="571"/>
      <c r="U447" s="571"/>
      <c r="V447" s="571"/>
      <c r="W447" s="571"/>
      <c r="X447" s="571"/>
      <c r="Y447" s="571"/>
      <c r="Z447" s="571"/>
    </row>
    <row r="448" spans="1:26" ht="18.75" hidden="1">
      <c r="A448" s="592"/>
      <c r="B448" s="600"/>
      <c r="C448" s="750"/>
      <c r="D448" s="711"/>
      <c r="E448" s="750" t="s">
        <v>184</v>
      </c>
      <c r="F448" s="750"/>
      <c r="G448" s="596"/>
      <c r="H448" s="165" t="s">
        <v>12</v>
      </c>
      <c r="I448" s="610"/>
      <c r="J448" s="610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7"/>
      <c r="R448" s="597"/>
      <c r="S448" s="597"/>
      <c r="T448" s="597"/>
      <c r="U448" s="597"/>
      <c r="V448" s="597"/>
      <c r="W448" s="597"/>
      <c r="X448" s="597"/>
      <c r="Y448" s="597"/>
      <c r="Z448" s="597"/>
    </row>
    <row r="449" spans="1:26" ht="18.75" hidden="1">
      <c r="A449" s="592"/>
      <c r="B449" s="600"/>
      <c r="C449" s="750"/>
      <c r="D449" s="711"/>
      <c r="E449" s="750" t="s">
        <v>185</v>
      </c>
      <c r="F449" s="750"/>
      <c r="G449" s="596"/>
      <c r="H449" s="165" t="s">
        <v>12</v>
      </c>
      <c r="I449" s="610"/>
      <c r="J449" s="610"/>
      <c r="K449" s="93"/>
      <c r="L449" s="93">
        <f ca="1">IFERROR(__xludf.DUMMYFUNCTION("IMPORTRANGE(""https://docs.google.com/spreadsheets/d/1QqKyyYR6Q21VydFLVH3TRQUabQu_ym0Zz7PgGX0-kHA/edit?usp=sharing"",""แผน!FJ39"")"),572280)</f>
        <v>572280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7"/>
      <c r="R449" s="597"/>
      <c r="S449" s="597"/>
      <c r="T449" s="597"/>
      <c r="U449" s="597"/>
      <c r="V449" s="597"/>
      <c r="W449" s="597"/>
      <c r="X449" s="597"/>
      <c r="Y449" s="597"/>
      <c r="Z449" s="597"/>
    </row>
    <row r="450" spans="1:26" ht="18.75">
      <c r="A450" s="567"/>
      <c r="B450" s="568"/>
      <c r="C450" s="754"/>
      <c r="D450" s="754"/>
      <c r="E450" s="754"/>
      <c r="F450" s="754" t="s">
        <v>186</v>
      </c>
      <c r="G450" s="189"/>
      <c r="H450" s="161" t="s">
        <v>12</v>
      </c>
      <c r="I450" s="269"/>
      <c r="J450" s="269"/>
      <c r="K450" s="496"/>
      <c r="L450" s="496"/>
      <c r="M450" s="496"/>
      <c r="N450" s="816">
        <v>0</v>
      </c>
      <c r="O450" s="496"/>
      <c r="P450" s="496"/>
      <c r="Q450" s="571"/>
      <c r="R450" s="571"/>
      <c r="S450" s="571"/>
      <c r="T450" s="571"/>
      <c r="U450" s="571"/>
      <c r="V450" s="571"/>
      <c r="W450" s="571"/>
      <c r="X450" s="571"/>
      <c r="Y450" s="571"/>
      <c r="Z450" s="571"/>
    </row>
    <row r="451" spans="1:26" ht="18.75">
      <c r="A451" s="567"/>
      <c r="B451" s="568"/>
      <c r="C451" s="754"/>
      <c r="D451" s="754"/>
      <c r="E451" s="754"/>
      <c r="F451" s="754" t="s">
        <v>187</v>
      </c>
      <c r="G451" s="189"/>
      <c r="H451" s="161" t="s">
        <v>12</v>
      </c>
      <c r="I451" s="269"/>
      <c r="J451" s="269"/>
      <c r="K451" s="496"/>
      <c r="L451" s="496"/>
      <c r="M451" s="496"/>
      <c r="N451" s="816">
        <v>0</v>
      </c>
      <c r="O451" s="496"/>
      <c r="P451" s="496"/>
      <c r="Q451" s="571"/>
      <c r="R451" s="571"/>
      <c r="S451" s="571"/>
      <c r="T451" s="571"/>
      <c r="U451" s="571"/>
      <c r="V451" s="571"/>
      <c r="W451" s="571"/>
      <c r="X451" s="571"/>
      <c r="Y451" s="571"/>
      <c r="Z451" s="571"/>
    </row>
    <row r="452" spans="1:26" ht="18.75">
      <c r="A452" s="567"/>
      <c r="B452" s="568"/>
      <c r="C452" s="568"/>
      <c r="D452" s="568"/>
      <c r="E452" s="568"/>
      <c r="F452" s="754" t="s">
        <v>188</v>
      </c>
      <c r="G452" s="189"/>
      <c r="H452" s="161" t="s">
        <v>12</v>
      </c>
      <c r="I452" s="269"/>
      <c r="J452" s="269"/>
      <c r="K452" s="496"/>
      <c r="L452" s="496"/>
      <c r="M452" s="496"/>
      <c r="N452" s="816">
        <v>0</v>
      </c>
      <c r="O452" s="496"/>
      <c r="P452" s="496"/>
      <c r="Q452" s="571"/>
      <c r="R452" s="571"/>
      <c r="S452" s="571"/>
      <c r="T452" s="571"/>
      <c r="U452" s="571"/>
      <c r="V452" s="571"/>
      <c r="W452" s="571"/>
      <c r="X452" s="571"/>
      <c r="Y452" s="571"/>
      <c r="Z452" s="571"/>
    </row>
    <row r="453" spans="1:26" ht="18.75">
      <c r="A453" s="567"/>
      <c r="B453" s="568"/>
      <c r="C453" s="568"/>
      <c r="D453" s="568"/>
      <c r="E453" s="568"/>
      <c r="F453" s="754" t="s">
        <v>189</v>
      </c>
      <c r="G453" s="189"/>
      <c r="H453" s="161" t="s">
        <v>12</v>
      </c>
      <c r="I453" s="269"/>
      <c r="J453" s="269"/>
      <c r="K453" s="496"/>
      <c r="L453" s="496"/>
      <c r="M453" s="496"/>
      <c r="N453" s="816">
        <v>0</v>
      </c>
      <c r="O453" s="496"/>
      <c r="P453" s="496"/>
      <c r="Q453" s="571"/>
      <c r="R453" s="571"/>
      <c r="S453" s="571"/>
      <c r="T453" s="571"/>
      <c r="U453" s="571"/>
      <c r="V453" s="571"/>
      <c r="W453" s="571"/>
      <c r="X453" s="571"/>
      <c r="Y453" s="571"/>
      <c r="Z453" s="571"/>
    </row>
    <row r="454" spans="1:26" ht="18.75">
      <c r="A454" s="590"/>
      <c r="B454" s="568"/>
      <c r="C454" s="568"/>
      <c r="D454" s="599" t="s">
        <v>21</v>
      </c>
      <c r="E454" s="568"/>
      <c r="F454" s="754"/>
      <c r="G454" s="189"/>
      <c r="H454" s="168" t="s">
        <v>12</v>
      </c>
      <c r="I454" s="184"/>
      <c r="J454" s="184"/>
      <c r="K454" s="163"/>
      <c r="L454" s="496">
        <f t="shared" ref="L454:N454" ca="1" si="201">L455+L456</f>
        <v>0</v>
      </c>
      <c r="M454" s="496">
        <f t="shared" si="201"/>
        <v>0</v>
      </c>
      <c r="N454" s="496">
        <f t="shared" si="201"/>
        <v>0</v>
      </c>
      <c r="O454" s="496">
        <f t="shared" ref="O454:O456" ca="1" si="202">IF(L454&gt;0,N454*100/L454,0)</f>
        <v>0</v>
      </c>
      <c r="P454" s="496">
        <f t="shared" ref="P454:P456" si="203">IF(M454&gt;0,N454*100/M454,0)</f>
        <v>0</v>
      </c>
      <c r="Q454" s="571"/>
      <c r="R454" s="571"/>
      <c r="S454" s="571"/>
      <c r="T454" s="571"/>
      <c r="U454" s="571"/>
      <c r="V454" s="571"/>
      <c r="W454" s="571"/>
      <c r="X454" s="571"/>
      <c r="Y454" s="571"/>
      <c r="Z454" s="571"/>
    </row>
    <row r="455" spans="1:26" ht="18.75" hidden="1">
      <c r="A455" s="592"/>
      <c r="B455" s="600"/>
      <c r="C455" s="600"/>
      <c r="D455" s="600"/>
      <c r="E455" s="600" t="s">
        <v>18</v>
      </c>
      <c r="F455" s="750"/>
      <c r="G455" s="596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7"/>
      <c r="R455" s="597"/>
      <c r="S455" s="597"/>
      <c r="T455" s="597"/>
      <c r="U455" s="597"/>
      <c r="V455" s="597"/>
      <c r="W455" s="597"/>
      <c r="X455" s="597"/>
      <c r="Y455" s="597"/>
      <c r="Z455" s="597"/>
    </row>
    <row r="456" spans="1:26" ht="18.75" hidden="1">
      <c r="A456" s="592"/>
      <c r="B456" s="600"/>
      <c r="C456" s="600"/>
      <c r="D456" s="600"/>
      <c r="E456" s="600" t="s">
        <v>19</v>
      </c>
      <c r="F456" s="750"/>
      <c r="G456" s="596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7"/>
      <c r="R456" s="597"/>
      <c r="S456" s="597"/>
      <c r="T456" s="597"/>
      <c r="U456" s="597"/>
      <c r="V456" s="597"/>
      <c r="W456" s="597"/>
      <c r="X456" s="597"/>
      <c r="Y456" s="597"/>
      <c r="Z456" s="597"/>
    </row>
    <row r="457" spans="1:26" ht="19.5">
      <c r="A457" s="601"/>
      <c r="B457" s="611"/>
      <c r="C457" s="568" t="s">
        <v>16</v>
      </c>
      <c r="D457" s="860" t="s">
        <v>38</v>
      </c>
      <c r="E457" s="604"/>
      <c r="F457" s="752"/>
      <c r="G457" s="606"/>
      <c r="H457" s="753"/>
      <c r="I457" s="269"/>
      <c r="J457" s="269"/>
      <c r="K457" s="496"/>
      <c r="L457" s="496"/>
      <c r="M457" s="496"/>
      <c r="N457" s="496"/>
      <c r="O457" s="496"/>
      <c r="P457" s="496"/>
      <c r="Q457" s="571"/>
      <c r="R457" s="571"/>
      <c r="S457" s="571"/>
      <c r="T457" s="571"/>
      <c r="U457" s="571"/>
      <c r="V457" s="571"/>
      <c r="W457" s="571"/>
      <c r="X457" s="571"/>
      <c r="Y457" s="571"/>
      <c r="Z457" s="571"/>
    </row>
    <row r="458" spans="1:26" ht="18.75" hidden="1">
      <c r="A458" s="607"/>
      <c r="B458" s="609"/>
      <c r="C458" s="609"/>
      <c r="D458" s="609" t="s">
        <v>200</v>
      </c>
      <c r="E458" s="609"/>
      <c r="F458" s="711"/>
      <c r="G458" s="365"/>
      <c r="H458" s="369" t="s">
        <v>35</v>
      </c>
      <c r="I458" s="610">
        <v>0</v>
      </c>
      <c r="J458" s="610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7"/>
      <c r="R458" s="597"/>
      <c r="S458" s="597"/>
      <c r="T458" s="597"/>
      <c r="U458" s="597"/>
      <c r="V458" s="597"/>
      <c r="W458" s="597"/>
      <c r="X458" s="597"/>
      <c r="Y458" s="597"/>
      <c r="Z458" s="597"/>
    </row>
    <row r="459" spans="1:26" ht="18.75" hidden="1">
      <c r="A459" s="607"/>
      <c r="B459" s="609"/>
      <c r="C459" s="609"/>
      <c r="D459" s="609" t="s">
        <v>201</v>
      </c>
      <c r="E459" s="609"/>
      <c r="F459" s="711"/>
      <c r="G459" s="365"/>
      <c r="H459" s="369"/>
      <c r="I459" s="610"/>
      <c r="J459" s="610"/>
      <c r="K459" s="93"/>
      <c r="L459" s="93"/>
      <c r="M459" s="93"/>
      <c r="N459" s="93"/>
      <c r="O459" s="93"/>
      <c r="P459" s="93"/>
      <c r="Q459" s="597"/>
      <c r="R459" s="597"/>
      <c r="S459" s="597"/>
      <c r="T459" s="597"/>
      <c r="U459" s="597"/>
      <c r="V459" s="597"/>
      <c r="W459" s="597"/>
      <c r="X459" s="597"/>
      <c r="Y459" s="597"/>
      <c r="Z459" s="597"/>
    </row>
    <row r="460" spans="1:26" ht="18.75">
      <c r="A460" s="601"/>
      <c r="B460" s="611"/>
      <c r="C460" s="611"/>
      <c r="D460" s="611" t="s">
        <v>202</v>
      </c>
      <c r="E460" s="611"/>
      <c r="F460" s="619"/>
      <c r="G460" s="753"/>
      <c r="H460" s="755" t="s">
        <v>35</v>
      </c>
      <c r="I460" s="269">
        <f ca="1">IFERROR(__xludf.DUMMYFUNCTION("IMPORTRANGE(""https://docs.google.com/spreadsheets/d/1QqKyyYR6Q21VydFLVH3TRQUabQu_ym0Zz7PgGX0-kHA/edit?usp=sharing"",""แผน!FN39"")"),100)</f>
        <v>100</v>
      </c>
      <c r="J460" s="214">
        <v>0</v>
      </c>
      <c r="K460" s="496">
        <f ca="1">IF(I460&gt;0,J460*100/I460,0)</f>
        <v>0</v>
      </c>
      <c r="L460" s="496"/>
      <c r="M460" s="496"/>
      <c r="N460" s="496"/>
      <c r="O460" s="496"/>
      <c r="P460" s="496"/>
      <c r="Q460" s="571"/>
      <c r="R460" s="571"/>
      <c r="S460" s="571"/>
      <c r="T460" s="571"/>
      <c r="U460" s="571"/>
      <c r="V460" s="571"/>
      <c r="W460" s="571"/>
      <c r="X460" s="571"/>
      <c r="Y460" s="571"/>
      <c r="Z460" s="571"/>
    </row>
    <row r="461" spans="1:26" ht="18.75">
      <c r="A461" s="601"/>
      <c r="B461" s="611"/>
      <c r="C461" s="611"/>
      <c r="D461" s="611" t="s">
        <v>203</v>
      </c>
      <c r="E461" s="619"/>
      <c r="F461" s="619"/>
      <c r="G461" s="753"/>
      <c r="H461" s="755"/>
      <c r="I461" s="269"/>
      <c r="J461" s="269"/>
      <c r="K461" s="496"/>
      <c r="L461" s="496"/>
      <c r="M461" s="496"/>
      <c r="N461" s="496"/>
      <c r="O461" s="496"/>
      <c r="P461" s="496"/>
      <c r="Q461" s="571"/>
      <c r="R461" s="571"/>
      <c r="S461" s="571"/>
      <c r="T461" s="571"/>
      <c r="U461" s="571"/>
      <c r="V461" s="571"/>
      <c r="W461" s="571"/>
      <c r="X461" s="571"/>
      <c r="Y461" s="571"/>
      <c r="Z461" s="571"/>
    </row>
    <row r="462" spans="1:26" ht="18.75">
      <c r="A462" s="601"/>
      <c r="B462" s="611"/>
      <c r="C462" s="611"/>
      <c r="D462" s="611" t="s">
        <v>204</v>
      </c>
      <c r="E462" s="619"/>
      <c r="F462" s="619"/>
      <c r="G462" s="753"/>
      <c r="H462" s="755" t="s">
        <v>46</v>
      </c>
      <c r="I462" s="269">
        <f ca="1">IFERROR(__xludf.DUMMYFUNCTION("IMPORTRANGE(""https://docs.google.com/spreadsheets/d/1QqKyyYR6Q21VydFLVH3TRQUabQu_ym0Zz7PgGX0-kHA/edit?usp=sharing"",""แผน!FO39"")"),240)</f>
        <v>240</v>
      </c>
      <c r="J462" s="214">
        <v>0</v>
      </c>
      <c r="K462" s="496">
        <f ca="1">IF(I462&gt;0,J462*100/I462,0)</f>
        <v>0</v>
      </c>
      <c r="L462" s="496"/>
      <c r="M462" s="496"/>
      <c r="N462" s="496"/>
      <c r="O462" s="496"/>
      <c r="P462" s="496"/>
      <c r="Q462" s="571"/>
      <c r="R462" s="571"/>
      <c r="S462" s="571"/>
      <c r="T462" s="571"/>
      <c r="U462" s="571"/>
      <c r="V462" s="571"/>
      <c r="W462" s="571"/>
      <c r="X462" s="571"/>
      <c r="Y462" s="571"/>
      <c r="Z462" s="571"/>
    </row>
    <row r="463" spans="1:26" ht="18.75">
      <c r="A463" s="601"/>
      <c r="B463" s="611"/>
      <c r="C463" s="611"/>
      <c r="D463" s="611" t="s">
        <v>59</v>
      </c>
      <c r="E463" s="619"/>
      <c r="F463" s="754"/>
      <c r="G463" s="189"/>
      <c r="H463" s="755" t="s">
        <v>46</v>
      </c>
      <c r="I463" s="269">
        <f ca="1">IFERROR(__xludf.DUMMYFUNCTION("IMPORTRANGE(""https://docs.google.com/spreadsheets/d/1QqKyyYR6Q21VydFLVH3TRQUabQu_ym0Zz7PgGX0-kHA/edit?usp=sharing"",""แผน!FO39"")"),240)</f>
        <v>240</v>
      </c>
      <c r="J463" s="214">
        <v>0</v>
      </c>
      <c r="K463" s="496"/>
      <c r="L463" s="496"/>
      <c r="M463" s="496"/>
      <c r="N463" s="496"/>
      <c r="O463" s="496"/>
      <c r="P463" s="496"/>
      <c r="Q463" s="571"/>
      <c r="R463" s="571"/>
      <c r="S463" s="571"/>
      <c r="T463" s="571"/>
      <c r="U463" s="571"/>
      <c r="V463" s="571"/>
      <c r="W463" s="571"/>
      <c r="X463" s="571"/>
      <c r="Y463" s="571"/>
      <c r="Z463" s="571"/>
    </row>
    <row r="464" spans="1:26" ht="19.5">
      <c r="A464" s="601"/>
      <c r="B464" s="611"/>
      <c r="C464" s="611"/>
      <c r="D464" s="611"/>
      <c r="E464" s="619"/>
      <c r="F464" s="619"/>
      <c r="G464" s="613"/>
      <c r="H464" s="755" t="s">
        <v>35</v>
      </c>
      <c r="I464" s="269">
        <f ca="1">IFERROR(__xludf.DUMMYFUNCTION("IMPORTRANGE(""https://docs.google.com/spreadsheets/d/1QqKyyYR6Q21VydFLVH3TRQUabQu_ym0Zz7PgGX0-kHA/edit?usp=sharing"",""แผน!FN39"")"),100)</f>
        <v>100</v>
      </c>
      <c r="J464" s="214">
        <v>0</v>
      </c>
      <c r="K464" s="496"/>
      <c r="L464" s="496"/>
      <c r="M464" s="496"/>
      <c r="N464" s="496"/>
      <c r="O464" s="496"/>
      <c r="P464" s="496"/>
      <c r="Q464" s="571"/>
      <c r="R464" s="571"/>
      <c r="S464" s="571"/>
      <c r="T464" s="571"/>
      <c r="U464" s="571"/>
      <c r="V464" s="571"/>
      <c r="W464" s="571"/>
      <c r="X464" s="571"/>
      <c r="Y464" s="571"/>
      <c r="Z464" s="571"/>
    </row>
    <row r="465" spans="1:26" ht="19.5">
      <c r="A465" s="578">
        <v>3</v>
      </c>
      <c r="B465" s="579" t="s">
        <v>205</v>
      </c>
      <c r="C465" s="580"/>
      <c r="D465" s="580"/>
      <c r="E465" s="580"/>
      <c r="F465" s="580"/>
      <c r="G465" s="581"/>
      <c r="H465" s="582" t="s">
        <v>35</v>
      </c>
      <c r="I465" s="583">
        <f ca="1">IFERROR(__xludf.DUMMYFUNCTION("IMPORTRANGE(""https://docs.google.com/spreadsheets/d/1QqKyyYR6Q21VydFLVH3TRQUabQu_ym0Zz7PgGX0-kHA/edit?usp=sharing"",""แผน!FX39"")"),131)</f>
        <v>131</v>
      </c>
      <c r="J465" s="583">
        <f>J485+J489+J492</f>
        <v>0</v>
      </c>
      <c r="K465" s="584">
        <f t="shared" ref="K465:K466" ca="1" si="204">IF(I465&gt;0,J465*100/I465,0)</f>
        <v>0</v>
      </c>
      <c r="L465" s="585"/>
      <c r="M465" s="585"/>
      <c r="N465" s="585"/>
      <c r="O465" s="585"/>
      <c r="P465" s="585"/>
      <c r="Q465" s="571"/>
      <c r="R465" s="571"/>
      <c r="S465" s="571"/>
      <c r="T465" s="571"/>
      <c r="U465" s="571"/>
      <c r="V465" s="571"/>
      <c r="W465" s="571"/>
      <c r="X465" s="571"/>
      <c r="Y465" s="571"/>
      <c r="Z465" s="571"/>
    </row>
    <row r="466" spans="1:26" ht="19.5">
      <c r="A466" s="586"/>
      <c r="B466" s="587"/>
      <c r="C466" s="588"/>
      <c r="D466" s="588"/>
      <c r="E466" s="588"/>
      <c r="F466" s="588"/>
      <c r="G466" s="589"/>
      <c r="H466" s="562" t="s">
        <v>46</v>
      </c>
      <c r="I466" s="563">
        <f ca="1">IFERROR(__xludf.DUMMYFUNCTION("IMPORTRANGE(""https://docs.google.com/spreadsheets/d/1QqKyyYR6Q21VydFLVH3TRQUabQu_ym0Zz7PgGX0-kHA/edit?usp=sharing"",""แผน!FW39"")"),1300)</f>
        <v>1300</v>
      </c>
      <c r="J466" s="563">
        <f>J483+J487</f>
        <v>0</v>
      </c>
      <c r="K466" s="564">
        <f t="shared" ca="1" si="204"/>
        <v>0</v>
      </c>
      <c r="L466" s="565"/>
      <c r="M466" s="565"/>
      <c r="N466" s="565"/>
      <c r="O466" s="565"/>
      <c r="P466" s="565"/>
      <c r="Q466" s="571"/>
      <c r="R466" s="571"/>
      <c r="S466" s="571"/>
      <c r="T466" s="571"/>
      <c r="U466" s="571"/>
      <c r="V466" s="571"/>
      <c r="W466" s="571"/>
      <c r="X466" s="571"/>
      <c r="Y466" s="571"/>
      <c r="Z466" s="571"/>
    </row>
    <row r="467" spans="1:26" ht="19.5">
      <c r="A467" s="590"/>
      <c r="B467" s="754"/>
      <c r="C467" s="754" t="s">
        <v>16</v>
      </c>
      <c r="D467" s="838" t="s">
        <v>17</v>
      </c>
      <c r="E467" s="832"/>
      <c r="F467" s="832"/>
      <c r="G467" s="189"/>
      <c r="H467" s="591" t="s">
        <v>12</v>
      </c>
      <c r="I467" s="269"/>
      <c r="J467" s="269"/>
      <c r="K467" s="496"/>
      <c r="L467" s="195">
        <f t="shared" ref="L467:N467" ca="1" si="205">L468+L469</f>
        <v>1161548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1"/>
      <c r="R467" s="571"/>
      <c r="S467" s="571"/>
      <c r="T467" s="571"/>
      <c r="U467" s="571"/>
      <c r="V467" s="571"/>
      <c r="W467" s="571"/>
      <c r="X467" s="571"/>
      <c r="Y467" s="571"/>
      <c r="Z467" s="571"/>
    </row>
    <row r="468" spans="1:26" ht="18.75" hidden="1">
      <c r="A468" s="592"/>
      <c r="B468" s="750"/>
      <c r="C468" s="750"/>
      <c r="D468" s="711"/>
      <c r="E468" s="750" t="s">
        <v>184</v>
      </c>
      <c r="F468" s="750"/>
      <c r="G468" s="596"/>
      <c r="H468" s="165" t="s">
        <v>12</v>
      </c>
      <c r="I468" s="610"/>
      <c r="J468" s="610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7"/>
      <c r="R468" s="597"/>
      <c r="S468" s="597"/>
      <c r="T468" s="597"/>
      <c r="U468" s="597"/>
      <c r="V468" s="597"/>
      <c r="W468" s="597"/>
      <c r="X468" s="597"/>
      <c r="Y468" s="597"/>
      <c r="Z468" s="597"/>
    </row>
    <row r="469" spans="1:26" ht="18.75" hidden="1">
      <c r="A469" s="592"/>
      <c r="B469" s="600"/>
      <c r="C469" s="750"/>
      <c r="D469" s="711"/>
      <c r="E469" s="750" t="s">
        <v>185</v>
      </c>
      <c r="F469" s="750"/>
      <c r="G469" s="596"/>
      <c r="H469" s="165" t="s">
        <v>12</v>
      </c>
      <c r="I469" s="610"/>
      <c r="J469" s="610"/>
      <c r="K469" s="93"/>
      <c r="L469" s="93">
        <f t="shared" ca="1" si="208"/>
        <v>1161548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7"/>
      <c r="R469" s="597"/>
      <c r="S469" s="597"/>
      <c r="T469" s="597"/>
      <c r="U469" s="597"/>
      <c r="V469" s="597"/>
      <c r="W469" s="597"/>
      <c r="X469" s="597"/>
      <c r="Y469" s="597"/>
      <c r="Z469" s="597"/>
    </row>
    <row r="470" spans="1:26" ht="18.75">
      <c r="A470" s="590"/>
      <c r="B470" s="568"/>
      <c r="C470" s="754"/>
      <c r="D470" s="599" t="s">
        <v>20</v>
      </c>
      <c r="E470" s="754"/>
      <c r="F470" s="754"/>
      <c r="G470" s="189"/>
      <c r="H470" s="161" t="s">
        <v>12</v>
      </c>
      <c r="I470" s="184"/>
      <c r="J470" s="184"/>
      <c r="K470" s="163"/>
      <c r="L470" s="496">
        <f t="shared" ref="L470:N470" ca="1" si="209">L471+L472</f>
        <v>1161548</v>
      </c>
      <c r="M470" s="496">
        <f t="shared" si="209"/>
        <v>0</v>
      </c>
      <c r="N470" s="496">
        <f t="shared" si="209"/>
        <v>0</v>
      </c>
      <c r="O470" s="496">
        <f t="shared" ca="1" si="206"/>
        <v>0</v>
      </c>
      <c r="P470" s="496">
        <f t="shared" si="207"/>
        <v>0</v>
      </c>
      <c r="Q470" s="571"/>
      <c r="R470" s="571"/>
      <c r="S470" s="571"/>
      <c r="T470" s="571"/>
      <c r="U470" s="571"/>
      <c r="V470" s="571"/>
      <c r="W470" s="571"/>
      <c r="X470" s="571"/>
      <c r="Y470" s="571"/>
      <c r="Z470" s="571"/>
    </row>
    <row r="471" spans="1:26" ht="18.75" hidden="1">
      <c r="A471" s="592"/>
      <c r="B471" s="600"/>
      <c r="C471" s="750"/>
      <c r="D471" s="711"/>
      <c r="E471" s="750" t="s">
        <v>184</v>
      </c>
      <c r="F471" s="750"/>
      <c r="G471" s="596"/>
      <c r="H471" s="165" t="s">
        <v>12</v>
      </c>
      <c r="I471" s="610"/>
      <c r="J471" s="610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7"/>
      <c r="R471" s="597"/>
      <c r="S471" s="597"/>
      <c r="T471" s="597"/>
      <c r="U471" s="597"/>
      <c r="V471" s="597"/>
      <c r="W471" s="597"/>
      <c r="X471" s="597"/>
      <c r="Y471" s="597"/>
      <c r="Z471" s="597"/>
    </row>
    <row r="472" spans="1:26" ht="18.75" hidden="1">
      <c r="A472" s="592"/>
      <c r="B472" s="600"/>
      <c r="C472" s="750"/>
      <c r="D472" s="711"/>
      <c r="E472" s="750" t="s">
        <v>185</v>
      </c>
      <c r="F472" s="750"/>
      <c r="G472" s="596"/>
      <c r="H472" s="165" t="s">
        <v>12</v>
      </c>
      <c r="I472" s="610"/>
      <c r="J472" s="610"/>
      <c r="K472" s="93"/>
      <c r="L472" s="93">
        <f ca="1">IFERROR(__xludf.DUMMYFUNCTION("IMPORTRANGE(""https://docs.google.com/spreadsheets/d/1QqKyyYR6Q21VydFLVH3TRQUabQu_ym0Zz7PgGX0-kHA/edit?usp=sharing"",""แผน!FS39"")"),1161548)</f>
        <v>1161548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7"/>
      <c r="R472" s="597"/>
      <c r="S472" s="597"/>
      <c r="T472" s="597"/>
      <c r="U472" s="597"/>
      <c r="V472" s="597"/>
      <c r="W472" s="597"/>
      <c r="X472" s="597"/>
      <c r="Y472" s="597"/>
      <c r="Z472" s="597"/>
    </row>
    <row r="473" spans="1:26" ht="18.75">
      <c r="A473" s="567"/>
      <c r="B473" s="568"/>
      <c r="C473" s="754"/>
      <c r="D473" s="754"/>
      <c r="E473" s="754"/>
      <c r="F473" s="754" t="s">
        <v>186</v>
      </c>
      <c r="G473" s="189"/>
      <c r="H473" s="161" t="s">
        <v>12</v>
      </c>
      <c r="I473" s="269"/>
      <c r="J473" s="269"/>
      <c r="K473" s="496"/>
      <c r="L473" s="496"/>
      <c r="M473" s="496"/>
      <c r="N473" s="816">
        <v>0</v>
      </c>
      <c r="O473" s="496"/>
      <c r="P473" s="496"/>
      <c r="Q473" s="571"/>
      <c r="R473" s="571"/>
      <c r="S473" s="571"/>
      <c r="T473" s="571"/>
      <c r="U473" s="571"/>
      <c r="V473" s="571"/>
      <c r="W473" s="571"/>
      <c r="X473" s="571"/>
      <c r="Y473" s="571"/>
      <c r="Z473" s="571"/>
    </row>
    <row r="474" spans="1:26" ht="18.75">
      <c r="A474" s="567"/>
      <c r="B474" s="568"/>
      <c r="C474" s="754"/>
      <c r="D474" s="754"/>
      <c r="E474" s="754"/>
      <c r="F474" s="754" t="s">
        <v>187</v>
      </c>
      <c r="G474" s="189"/>
      <c r="H474" s="161" t="s">
        <v>12</v>
      </c>
      <c r="I474" s="269"/>
      <c r="J474" s="269"/>
      <c r="K474" s="496"/>
      <c r="L474" s="496"/>
      <c r="M474" s="496"/>
      <c r="N474" s="816">
        <v>0</v>
      </c>
      <c r="O474" s="496"/>
      <c r="P474" s="496"/>
      <c r="Q474" s="571"/>
      <c r="R474" s="571"/>
      <c r="S474" s="571"/>
      <c r="T474" s="571"/>
      <c r="U474" s="571"/>
      <c r="V474" s="571"/>
      <c r="W474" s="571"/>
      <c r="X474" s="571"/>
      <c r="Y474" s="571"/>
      <c r="Z474" s="571"/>
    </row>
    <row r="475" spans="1:26" ht="18.75">
      <c r="A475" s="567"/>
      <c r="B475" s="568"/>
      <c r="C475" s="568"/>
      <c r="D475" s="568"/>
      <c r="E475" s="568"/>
      <c r="F475" s="754" t="s">
        <v>188</v>
      </c>
      <c r="G475" s="189"/>
      <c r="H475" s="161" t="s">
        <v>12</v>
      </c>
      <c r="I475" s="269"/>
      <c r="J475" s="269"/>
      <c r="K475" s="496"/>
      <c r="L475" s="496"/>
      <c r="M475" s="496"/>
      <c r="N475" s="816">
        <v>0</v>
      </c>
      <c r="O475" s="496"/>
      <c r="P475" s="496"/>
      <c r="Q475" s="571"/>
      <c r="R475" s="571"/>
      <c r="S475" s="571"/>
      <c r="T475" s="571"/>
      <c r="U475" s="571"/>
      <c r="V475" s="571"/>
      <c r="W475" s="571"/>
      <c r="X475" s="571"/>
      <c r="Y475" s="571"/>
      <c r="Z475" s="571"/>
    </row>
    <row r="476" spans="1:26" ht="18.75">
      <c r="A476" s="567"/>
      <c r="B476" s="568"/>
      <c r="C476" s="568"/>
      <c r="D476" s="568"/>
      <c r="E476" s="568"/>
      <c r="F476" s="754" t="s">
        <v>189</v>
      </c>
      <c r="G476" s="189"/>
      <c r="H476" s="161" t="s">
        <v>12</v>
      </c>
      <c r="I476" s="269"/>
      <c r="J476" s="269"/>
      <c r="K476" s="496"/>
      <c r="L476" s="496"/>
      <c r="M476" s="496"/>
      <c r="N476" s="816">
        <v>0</v>
      </c>
      <c r="O476" s="496"/>
      <c r="P476" s="496"/>
      <c r="Q476" s="571"/>
      <c r="R476" s="571"/>
      <c r="S476" s="571"/>
      <c r="T476" s="571"/>
      <c r="U476" s="571"/>
      <c r="V476" s="571"/>
      <c r="W476" s="571"/>
      <c r="X476" s="571"/>
      <c r="Y476" s="571"/>
      <c r="Z476" s="571"/>
    </row>
    <row r="477" spans="1:26" ht="18.75">
      <c r="A477" s="590"/>
      <c r="B477" s="568"/>
      <c r="C477" s="568"/>
      <c r="D477" s="599" t="s">
        <v>21</v>
      </c>
      <c r="E477" s="568"/>
      <c r="F477" s="568"/>
      <c r="G477" s="189"/>
      <c r="H477" s="168" t="s">
        <v>12</v>
      </c>
      <c r="I477" s="184"/>
      <c r="J477" s="184"/>
      <c r="K477" s="163"/>
      <c r="L477" s="496">
        <f t="shared" ref="L477:N477" ca="1" si="210">L478+L479</f>
        <v>0</v>
      </c>
      <c r="M477" s="496">
        <f t="shared" si="210"/>
        <v>0</v>
      </c>
      <c r="N477" s="496">
        <f t="shared" si="210"/>
        <v>0</v>
      </c>
      <c r="O477" s="496">
        <f t="shared" ref="O477:O479" ca="1" si="211">IF(L477&gt;0,N477*100/L477,0)</f>
        <v>0</v>
      </c>
      <c r="P477" s="496">
        <f t="shared" ref="P477:P479" si="212">IF(M477&gt;0,N477*100/M477,0)</f>
        <v>0</v>
      </c>
      <c r="Q477" s="571"/>
      <c r="R477" s="571"/>
      <c r="S477" s="571"/>
      <c r="T477" s="571"/>
      <c r="U477" s="571"/>
      <c r="V477" s="571"/>
      <c r="W477" s="571"/>
      <c r="X477" s="571"/>
      <c r="Y477" s="571"/>
      <c r="Z477" s="571"/>
    </row>
    <row r="478" spans="1:26" ht="18.75" hidden="1">
      <c r="A478" s="592"/>
      <c r="B478" s="600"/>
      <c r="C478" s="600"/>
      <c r="D478" s="600"/>
      <c r="E478" s="600" t="s">
        <v>18</v>
      </c>
      <c r="F478" s="600"/>
      <c r="G478" s="596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7"/>
      <c r="R478" s="597"/>
      <c r="S478" s="597"/>
      <c r="T478" s="597"/>
      <c r="U478" s="597"/>
      <c r="V478" s="597"/>
      <c r="W478" s="597"/>
      <c r="X478" s="597"/>
      <c r="Y478" s="597"/>
      <c r="Z478" s="597"/>
    </row>
    <row r="479" spans="1:26" ht="18.75" hidden="1">
      <c r="A479" s="592"/>
      <c r="B479" s="600"/>
      <c r="C479" s="600"/>
      <c r="D479" s="600"/>
      <c r="E479" s="600" t="s">
        <v>19</v>
      </c>
      <c r="F479" s="600"/>
      <c r="G479" s="596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7"/>
      <c r="R479" s="597"/>
      <c r="S479" s="597"/>
      <c r="T479" s="597"/>
      <c r="U479" s="597"/>
      <c r="V479" s="597"/>
      <c r="W479" s="597"/>
      <c r="X479" s="597"/>
      <c r="Y479" s="597"/>
      <c r="Z479" s="597"/>
    </row>
    <row r="480" spans="1:26" ht="19.5">
      <c r="A480" s="601"/>
      <c r="B480" s="611"/>
      <c r="C480" s="568" t="s">
        <v>16</v>
      </c>
      <c r="D480" s="861" t="s">
        <v>38</v>
      </c>
      <c r="E480" s="604"/>
      <c r="F480" s="752"/>
      <c r="G480" s="606"/>
      <c r="H480" s="753"/>
      <c r="I480" s="269"/>
      <c r="J480" s="269"/>
      <c r="K480" s="496"/>
      <c r="L480" s="496"/>
      <c r="M480" s="496"/>
      <c r="N480" s="496"/>
      <c r="O480" s="496"/>
      <c r="P480" s="496"/>
      <c r="Q480" s="571"/>
      <c r="R480" s="571"/>
      <c r="S480" s="571"/>
      <c r="T480" s="571"/>
      <c r="U480" s="571"/>
      <c r="V480" s="571"/>
      <c r="W480" s="571"/>
      <c r="X480" s="571"/>
      <c r="Y480" s="571"/>
      <c r="Z480" s="571"/>
    </row>
    <row r="481" spans="1:26" ht="19.5">
      <c r="A481" s="601"/>
      <c r="B481" s="611"/>
      <c r="C481" s="611"/>
      <c r="D481" s="618" t="s">
        <v>206</v>
      </c>
      <c r="E481" s="611"/>
      <c r="F481" s="611"/>
      <c r="G481" s="753"/>
      <c r="H481" s="189"/>
      <c r="I481" s="269"/>
      <c r="J481" s="269"/>
      <c r="K481" s="496"/>
      <c r="L481" s="496"/>
      <c r="M481" s="496"/>
      <c r="N481" s="496"/>
      <c r="O481" s="496"/>
      <c r="P481" s="496"/>
      <c r="Q481" s="571"/>
      <c r="R481" s="571"/>
      <c r="S481" s="571"/>
      <c r="T481" s="571"/>
      <c r="U481" s="571"/>
      <c r="V481" s="571"/>
      <c r="W481" s="571"/>
      <c r="X481" s="571"/>
      <c r="Y481" s="571"/>
      <c r="Z481" s="571"/>
    </row>
    <row r="482" spans="1:26" ht="18.75">
      <c r="A482" s="601"/>
      <c r="B482" s="611"/>
      <c r="C482" s="611"/>
      <c r="D482" s="611"/>
      <c r="E482" s="611" t="s">
        <v>207</v>
      </c>
      <c r="F482" s="611"/>
      <c r="G482" s="753"/>
      <c r="H482" s="189"/>
      <c r="I482" s="269"/>
      <c r="J482" s="269"/>
      <c r="K482" s="496"/>
      <c r="L482" s="496"/>
      <c r="M482" s="496"/>
      <c r="N482" s="496"/>
      <c r="O482" s="496"/>
      <c r="P482" s="496"/>
      <c r="Q482" s="571"/>
      <c r="R482" s="571"/>
      <c r="S482" s="571"/>
      <c r="T482" s="571"/>
      <c r="U482" s="571"/>
      <c r="V482" s="571"/>
      <c r="W482" s="571"/>
      <c r="X482" s="571"/>
      <c r="Y482" s="571"/>
      <c r="Z482" s="571"/>
    </row>
    <row r="483" spans="1:26" ht="18.75">
      <c r="A483" s="601"/>
      <c r="B483" s="611"/>
      <c r="C483" s="611"/>
      <c r="D483" s="611"/>
      <c r="E483" s="611"/>
      <c r="F483" s="611" t="s">
        <v>208</v>
      </c>
      <c r="G483" s="753"/>
      <c r="H483" s="616" t="s">
        <v>46</v>
      </c>
      <c r="I483" s="269">
        <f ca="1">IFERROR(__xludf.DUMMYFUNCTION("IMPORTRANGE(""https://docs.google.com/spreadsheets/d/1QqKyyYR6Q21VydFLVH3TRQUabQu_ym0Zz7PgGX0-kHA/edit?usp=sharing"",""แผน!FY39"")"),1170)</f>
        <v>1170</v>
      </c>
      <c r="J483" s="214">
        <v>0</v>
      </c>
      <c r="K483" s="496">
        <f ca="1">IF(I483&gt;0,J483*100/I483,0)</f>
        <v>0</v>
      </c>
      <c r="L483" s="496"/>
      <c r="M483" s="496"/>
      <c r="N483" s="496"/>
      <c r="O483" s="496"/>
      <c r="P483" s="496"/>
      <c r="Q483" s="571"/>
      <c r="R483" s="571"/>
      <c r="S483" s="571"/>
      <c r="T483" s="571"/>
      <c r="U483" s="571"/>
      <c r="V483" s="571"/>
      <c r="W483" s="571"/>
      <c r="X483" s="571"/>
      <c r="Y483" s="571"/>
      <c r="Z483" s="571"/>
    </row>
    <row r="484" spans="1:26" ht="18.75">
      <c r="A484" s="601"/>
      <c r="B484" s="611"/>
      <c r="C484" s="611"/>
      <c r="D484" s="611"/>
      <c r="E484" s="611"/>
      <c r="F484" s="611" t="s">
        <v>209</v>
      </c>
      <c r="G484" s="753"/>
      <c r="H484" s="616" t="s">
        <v>35</v>
      </c>
      <c r="I484" s="269"/>
      <c r="J484" s="214">
        <v>0</v>
      </c>
      <c r="K484" s="496"/>
      <c r="L484" s="496"/>
      <c r="M484" s="496"/>
      <c r="N484" s="496"/>
      <c r="O484" s="496"/>
      <c r="P484" s="496"/>
      <c r="Q484" s="571"/>
      <c r="R484" s="571"/>
      <c r="S484" s="571"/>
      <c r="T484" s="571"/>
      <c r="U484" s="571"/>
      <c r="V484" s="571"/>
      <c r="W484" s="571"/>
      <c r="X484" s="571"/>
      <c r="Y484" s="571"/>
      <c r="Z484" s="571"/>
    </row>
    <row r="485" spans="1:26" ht="18.75">
      <c r="A485" s="601"/>
      <c r="B485" s="611"/>
      <c r="C485" s="611"/>
      <c r="D485" s="611"/>
      <c r="E485" s="611"/>
      <c r="F485" s="611" t="s">
        <v>210</v>
      </c>
      <c r="G485" s="753"/>
      <c r="H485" s="616" t="s">
        <v>35</v>
      </c>
      <c r="I485" s="269">
        <f ca="1">IFERROR(__xludf.DUMMYFUNCTION("IMPORTRANGE(""https://docs.google.com/spreadsheets/d/1QqKyyYR6Q21VydFLVH3TRQUabQu_ym0Zz7PgGX0-kHA/edit?usp=sharing"",""แผน!FZ39"")"),117)</f>
        <v>117</v>
      </c>
      <c r="J485" s="214">
        <v>0</v>
      </c>
      <c r="K485" s="496">
        <f ca="1">IF(I485&gt;0,J485*100/I485,0)</f>
        <v>0</v>
      </c>
      <c r="L485" s="496"/>
      <c r="M485" s="496"/>
      <c r="N485" s="496"/>
      <c r="O485" s="496"/>
      <c r="P485" s="496"/>
      <c r="Q485" s="571"/>
      <c r="R485" s="571"/>
      <c r="S485" s="571"/>
      <c r="T485" s="571"/>
      <c r="U485" s="571"/>
      <c r="V485" s="571"/>
      <c r="W485" s="571"/>
      <c r="X485" s="571"/>
      <c r="Y485" s="571"/>
      <c r="Z485" s="571"/>
    </row>
    <row r="486" spans="1:26" ht="18.75">
      <c r="A486" s="601"/>
      <c r="B486" s="611"/>
      <c r="C486" s="611"/>
      <c r="D486" s="611"/>
      <c r="E486" s="611" t="s">
        <v>62</v>
      </c>
      <c r="F486" s="611"/>
      <c r="G486" s="753"/>
      <c r="H486" s="616"/>
      <c r="I486" s="269"/>
      <c r="J486" s="269"/>
      <c r="K486" s="496"/>
      <c r="L486" s="496"/>
      <c r="M486" s="496"/>
      <c r="N486" s="496"/>
      <c r="O486" s="496"/>
      <c r="P486" s="496"/>
      <c r="Q486" s="571"/>
      <c r="R486" s="571"/>
      <c r="S486" s="571"/>
      <c r="T486" s="571"/>
      <c r="U486" s="571"/>
      <c r="V486" s="571"/>
      <c r="W486" s="571"/>
      <c r="X486" s="571"/>
      <c r="Y486" s="571"/>
      <c r="Z486" s="571"/>
    </row>
    <row r="487" spans="1:26" ht="18.75">
      <c r="A487" s="601"/>
      <c r="B487" s="611"/>
      <c r="C487" s="611"/>
      <c r="D487" s="611"/>
      <c r="E487" s="611"/>
      <c r="F487" s="611" t="s">
        <v>208</v>
      </c>
      <c r="G487" s="753"/>
      <c r="H487" s="616" t="s">
        <v>46</v>
      </c>
      <c r="I487" s="269">
        <f ca="1">IFERROR(__xludf.DUMMYFUNCTION("IMPORTRANGE(""https://docs.google.com/spreadsheets/d/1QqKyyYR6Q21VydFLVH3TRQUabQu_ym0Zz7PgGX0-kHA/edit?usp=sharing"",""แผน!GA39"")"),130)</f>
        <v>130</v>
      </c>
      <c r="J487" s="214">
        <v>0</v>
      </c>
      <c r="K487" s="496">
        <f ca="1">IF(I487&gt;0,J487*100/I487,0)</f>
        <v>0</v>
      </c>
      <c r="L487" s="496"/>
      <c r="M487" s="496"/>
      <c r="N487" s="496"/>
      <c r="O487" s="496"/>
      <c r="P487" s="496"/>
      <c r="Q487" s="571"/>
      <c r="R487" s="571"/>
      <c r="S487" s="571"/>
      <c r="T487" s="571"/>
      <c r="U487" s="571"/>
      <c r="V487" s="571"/>
      <c r="W487" s="571"/>
      <c r="X487" s="571"/>
      <c r="Y487" s="571"/>
      <c r="Z487" s="571"/>
    </row>
    <row r="488" spans="1:26" ht="18.75">
      <c r="A488" s="601"/>
      <c r="B488" s="611"/>
      <c r="C488" s="611"/>
      <c r="D488" s="611"/>
      <c r="E488" s="611"/>
      <c r="F488" s="611" t="s">
        <v>211</v>
      </c>
      <c r="G488" s="753"/>
      <c r="H488" s="616" t="s">
        <v>35</v>
      </c>
      <c r="I488" s="269"/>
      <c r="J488" s="214">
        <v>0</v>
      </c>
      <c r="K488" s="496"/>
      <c r="L488" s="496"/>
      <c r="M488" s="496"/>
      <c r="N488" s="496"/>
      <c r="O488" s="496"/>
      <c r="P488" s="496"/>
      <c r="Q488" s="571"/>
      <c r="R488" s="571"/>
      <c r="S488" s="571"/>
      <c r="T488" s="571"/>
      <c r="U488" s="571"/>
      <c r="V488" s="571"/>
      <c r="W488" s="571"/>
      <c r="X488" s="571"/>
      <c r="Y488" s="571"/>
      <c r="Z488" s="571"/>
    </row>
    <row r="489" spans="1:26" ht="18.75">
      <c r="A489" s="601"/>
      <c r="B489" s="611"/>
      <c r="C489" s="611"/>
      <c r="D489" s="611"/>
      <c r="E489" s="611"/>
      <c r="F489" s="611" t="s">
        <v>212</v>
      </c>
      <c r="G489" s="753"/>
      <c r="H489" s="616" t="s">
        <v>35</v>
      </c>
      <c r="I489" s="269">
        <f ca="1">IFERROR(__xludf.DUMMYFUNCTION("IMPORTRANGE(""https://docs.google.com/spreadsheets/d/1QqKyyYR6Q21VydFLVH3TRQUabQu_ym0Zz7PgGX0-kHA/edit?usp=sharing"",""แผน!GB39"")"),13)</f>
        <v>13</v>
      </c>
      <c r="J489" s="214">
        <v>0</v>
      </c>
      <c r="K489" s="496">
        <f ca="1">IF(I489&gt;0,J489*100/I489,0)</f>
        <v>0</v>
      </c>
      <c r="L489" s="496"/>
      <c r="M489" s="496"/>
      <c r="N489" s="496"/>
      <c r="O489" s="496"/>
      <c r="P489" s="496"/>
      <c r="Q489" s="571"/>
      <c r="R489" s="571"/>
      <c r="S489" s="571"/>
      <c r="T489" s="571"/>
      <c r="U489" s="571"/>
      <c r="V489" s="571"/>
      <c r="W489" s="571"/>
      <c r="X489" s="571"/>
      <c r="Y489" s="571"/>
      <c r="Z489" s="571"/>
    </row>
    <row r="490" spans="1:26" ht="18.75">
      <c r="A490" s="601"/>
      <c r="B490" s="611"/>
      <c r="C490" s="611"/>
      <c r="D490" s="611"/>
      <c r="E490" s="611" t="s">
        <v>63</v>
      </c>
      <c r="F490" s="619"/>
      <c r="G490" s="753"/>
      <c r="H490" s="616"/>
      <c r="I490" s="269"/>
      <c r="J490" s="269"/>
      <c r="K490" s="496"/>
      <c r="L490" s="496"/>
      <c r="M490" s="496"/>
      <c r="N490" s="496"/>
      <c r="O490" s="496"/>
      <c r="P490" s="496"/>
      <c r="Q490" s="571"/>
      <c r="R490" s="571"/>
      <c r="S490" s="571"/>
      <c r="T490" s="571"/>
      <c r="U490" s="571"/>
      <c r="V490" s="571"/>
      <c r="W490" s="571"/>
      <c r="X490" s="571"/>
      <c r="Y490" s="571"/>
      <c r="Z490" s="571"/>
    </row>
    <row r="491" spans="1:26" ht="18.75">
      <c r="A491" s="601"/>
      <c r="B491" s="611"/>
      <c r="C491" s="611"/>
      <c r="D491" s="611"/>
      <c r="E491" s="611"/>
      <c r="F491" s="611" t="s">
        <v>213</v>
      </c>
      <c r="G491" s="753"/>
      <c r="H491" s="616" t="s">
        <v>35</v>
      </c>
      <c r="I491" s="269"/>
      <c r="J491" s="214">
        <v>0</v>
      </c>
      <c r="K491" s="496"/>
      <c r="L491" s="496"/>
      <c r="M491" s="496"/>
      <c r="N491" s="496"/>
      <c r="O491" s="496"/>
      <c r="P491" s="496"/>
      <c r="Q491" s="571"/>
      <c r="R491" s="571"/>
      <c r="S491" s="571"/>
      <c r="T491" s="571"/>
      <c r="U491" s="571"/>
      <c r="V491" s="571"/>
      <c r="W491" s="571"/>
      <c r="X491" s="571"/>
      <c r="Y491" s="571"/>
      <c r="Z491" s="571"/>
    </row>
    <row r="492" spans="1:26" ht="18.75">
      <c r="A492" s="601"/>
      <c r="B492" s="611"/>
      <c r="C492" s="611"/>
      <c r="D492" s="611"/>
      <c r="E492" s="611"/>
      <c r="F492" s="611" t="s">
        <v>214</v>
      </c>
      <c r="G492" s="753"/>
      <c r="H492" s="616" t="s">
        <v>35</v>
      </c>
      <c r="I492" s="269">
        <f ca="1">IFERROR(__xludf.DUMMYFUNCTION("IMPORTRANGE(""https://docs.google.com/spreadsheets/d/1QqKyyYR6Q21VydFLVH3TRQUabQu_ym0Zz7PgGX0-kHA/edit?usp=sharing"",""แผน!GC39"")"),1)</f>
        <v>1</v>
      </c>
      <c r="J492" s="214">
        <v>0</v>
      </c>
      <c r="K492" s="496">
        <f ca="1">IF(I492&gt;0,J492*100/I492,0)</f>
        <v>0</v>
      </c>
      <c r="L492" s="496"/>
      <c r="M492" s="496"/>
      <c r="N492" s="496"/>
      <c r="O492" s="496"/>
      <c r="P492" s="496"/>
      <c r="Q492" s="571"/>
      <c r="R492" s="571"/>
      <c r="S492" s="571"/>
      <c r="T492" s="571"/>
      <c r="U492" s="571"/>
      <c r="V492" s="571"/>
      <c r="W492" s="571"/>
      <c r="X492" s="571"/>
      <c r="Y492" s="571"/>
      <c r="Z492" s="571"/>
    </row>
    <row r="493" spans="1:26" ht="19.5">
      <c r="A493" s="601"/>
      <c r="B493" s="611"/>
      <c r="C493" s="611"/>
      <c r="D493" s="618" t="s">
        <v>59</v>
      </c>
      <c r="E493" s="611"/>
      <c r="F493" s="619"/>
      <c r="G493" s="753"/>
      <c r="H493" s="189"/>
      <c r="I493" s="269"/>
      <c r="J493" s="269"/>
      <c r="K493" s="496"/>
      <c r="L493" s="496"/>
      <c r="M493" s="496"/>
      <c r="N493" s="496"/>
      <c r="O493" s="496"/>
      <c r="P493" s="496"/>
      <c r="Q493" s="571"/>
      <c r="R493" s="571"/>
      <c r="S493" s="571"/>
      <c r="T493" s="571"/>
      <c r="U493" s="571"/>
      <c r="V493" s="571"/>
      <c r="W493" s="571"/>
      <c r="X493" s="571"/>
      <c r="Y493" s="571"/>
      <c r="Z493" s="571"/>
    </row>
    <row r="494" spans="1:26" ht="18.75">
      <c r="A494" s="601"/>
      <c r="B494" s="611"/>
      <c r="C494" s="611"/>
      <c r="D494" s="611"/>
      <c r="E494" s="611" t="s">
        <v>207</v>
      </c>
      <c r="F494" s="619"/>
      <c r="G494" s="753"/>
      <c r="H494" s="189"/>
      <c r="I494" s="269"/>
      <c r="J494" s="269"/>
      <c r="K494" s="496"/>
      <c r="L494" s="496"/>
      <c r="M494" s="496"/>
      <c r="N494" s="496"/>
      <c r="O494" s="496"/>
      <c r="P494" s="496"/>
      <c r="Q494" s="571"/>
      <c r="R494" s="571"/>
      <c r="S494" s="571"/>
      <c r="T494" s="571"/>
      <c r="U494" s="571"/>
      <c r="V494" s="571"/>
      <c r="W494" s="571"/>
      <c r="X494" s="571"/>
      <c r="Y494" s="571"/>
      <c r="Z494" s="571"/>
    </row>
    <row r="495" spans="1:26" ht="18.75">
      <c r="A495" s="601"/>
      <c r="B495" s="611"/>
      <c r="C495" s="611"/>
      <c r="D495" s="611"/>
      <c r="E495" s="611"/>
      <c r="F495" s="619" t="s">
        <v>215</v>
      </c>
      <c r="G495" s="753"/>
      <c r="H495" s="616" t="s">
        <v>46</v>
      </c>
      <c r="I495" s="269">
        <f ca="1">IFERROR(__xludf.DUMMYFUNCTION("IMPORTRANGE(""https://docs.google.com/spreadsheets/d/1QqKyyYR6Q21VydFLVH3TRQUabQu_ym0Zz7PgGX0-kHA/edit?usp=sharing"",""แผน!FY39"")"),1170)</f>
        <v>1170</v>
      </c>
      <c r="J495" s="214">
        <v>0</v>
      </c>
      <c r="K495" s="496">
        <f ca="1">IF(I495&gt;0,J495*100/I495,0)</f>
        <v>0</v>
      </c>
      <c r="L495" s="496"/>
      <c r="M495" s="496"/>
      <c r="N495" s="496"/>
      <c r="O495" s="496"/>
      <c r="P495" s="496"/>
      <c r="Q495" s="571"/>
      <c r="R495" s="571"/>
      <c r="S495" s="571"/>
      <c r="T495" s="571"/>
      <c r="U495" s="571"/>
      <c r="V495" s="571"/>
      <c r="W495" s="571"/>
      <c r="X495" s="571"/>
      <c r="Y495" s="571"/>
      <c r="Z495" s="571"/>
    </row>
    <row r="496" spans="1:26" ht="18.75">
      <c r="A496" s="601"/>
      <c r="B496" s="611"/>
      <c r="C496" s="611"/>
      <c r="D496" s="611"/>
      <c r="E496" s="611"/>
      <c r="F496" s="619" t="s">
        <v>216</v>
      </c>
      <c r="G496" s="753"/>
      <c r="H496" s="616" t="s">
        <v>46</v>
      </c>
      <c r="I496" s="269"/>
      <c r="J496" s="214">
        <v>0</v>
      </c>
      <c r="K496" s="496"/>
      <c r="L496" s="496"/>
      <c r="M496" s="496"/>
      <c r="N496" s="496"/>
      <c r="O496" s="496"/>
      <c r="P496" s="496"/>
      <c r="Q496" s="571"/>
      <c r="R496" s="571"/>
      <c r="S496" s="571"/>
      <c r="T496" s="571"/>
      <c r="U496" s="571"/>
      <c r="V496" s="571"/>
      <c r="W496" s="571"/>
      <c r="X496" s="571"/>
      <c r="Y496" s="571"/>
      <c r="Z496" s="571"/>
    </row>
    <row r="497" spans="1:26" ht="18.75">
      <c r="A497" s="601"/>
      <c r="B497" s="611"/>
      <c r="C497" s="611"/>
      <c r="D497" s="611"/>
      <c r="E497" s="611" t="s">
        <v>62</v>
      </c>
      <c r="F497" s="619"/>
      <c r="G497" s="753"/>
      <c r="H497" s="189"/>
      <c r="I497" s="269"/>
      <c r="J497" s="269"/>
      <c r="K497" s="496"/>
      <c r="L497" s="496"/>
      <c r="M497" s="496"/>
      <c r="N497" s="496"/>
      <c r="O497" s="496"/>
      <c r="P497" s="496"/>
      <c r="Q497" s="571"/>
      <c r="R497" s="571"/>
      <c r="S497" s="571"/>
      <c r="T497" s="571"/>
      <c r="U497" s="571"/>
      <c r="V497" s="571"/>
      <c r="W497" s="571"/>
      <c r="X497" s="571"/>
      <c r="Y497" s="571"/>
      <c r="Z497" s="571"/>
    </row>
    <row r="498" spans="1:26" ht="18.75">
      <c r="A498" s="601"/>
      <c r="B498" s="611"/>
      <c r="C498" s="611"/>
      <c r="D498" s="611"/>
      <c r="E498" s="619"/>
      <c r="F498" s="619" t="s">
        <v>217</v>
      </c>
      <c r="G498" s="753"/>
      <c r="H498" s="616" t="s">
        <v>46</v>
      </c>
      <c r="I498" s="269">
        <f ca="1">IFERROR(__xludf.DUMMYFUNCTION("IMPORTRANGE(""https://docs.google.com/spreadsheets/d/1QqKyyYR6Q21VydFLVH3TRQUabQu_ym0Zz7PgGX0-kHA/edit?usp=sharing"",""แผน!GA39"")"),130)</f>
        <v>130</v>
      </c>
      <c r="J498" s="214">
        <v>0</v>
      </c>
      <c r="K498" s="496">
        <f ca="1">IF(I498&gt;0,J498*100/I498,0)</f>
        <v>0</v>
      </c>
      <c r="L498" s="496"/>
      <c r="M498" s="496"/>
      <c r="N498" s="496"/>
      <c r="O498" s="496"/>
      <c r="P498" s="496"/>
      <c r="Q498" s="571"/>
      <c r="R498" s="571"/>
      <c r="S498" s="571"/>
      <c r="T498" s="571"/>
      <c r="U498" s="571"/>
      <c r="V498" s="571"/>
      <c r="W498" s="571"/>
      <c r="X498" s="571"/>
      <c r="Y498" s="571"/>
      <c r="Z498" s="571"/>
    </row>
    <row r="499" spans="1:26" ht="18.75">
      <c r="A499" s="601"/>
      <c r="B499" s="611"/>
      <c r="C499" s="611"/>
      <c r="D499" s="611"/>
      <c r="E499" s="619"/>
      <c r="F499" s="619" t="s">
        <v>218</v>
      </c>
      <c r="G499" s="753"/>
      <c r="H499" s="616" t="s">
        <v>46</v>
      </c>
      <c r="I499" s="269"/>
      <c r="J499" s="214">
        <v>0</v>
      </c>
      <c r="K499" s="496"/>
      <c r="L499" s="496"/>
      <c r="M499" s="496"/>
      <c r="N499" s="496"/>
      <c r="O499" s="496"/>
      <c r="P499" s="496"/>
      <c r="Q499" s="571"/>
      <c r="R499" s="571"/>
      <c r="S499" s="571"/>
      <c r="T499" s="571"/>
      <c r="U499" s="571"/>
      <c r="V499" s="571"/>
      <c r="W499" s="571"/>
      <c r="X499" s="571"/>
      <c r="Y499" s="571"/>
      <c r="Z499" s="571"/>
    </row>
    <row r="500" spans="1:26" ht="19.5" hidden="1">
      <c r="A500" s="620">
        <v>4</v>
      </c>
      <c r="B500" s="621" t="s">
        <v>219</v>
      </c>
      <c r="C500" s="622"/>
      <c r="D500" s="623"/>
      <c r="E500" s="623"/>
      <c r="F500" s="623"/>
      <c r="G500" s="624"/>
      <c r="H500" s="625" t="s">
        <v>109</v>
      </c>
      <c r="I500" s="626"/>
      <c r="J500" s="626">
        <f t="shared" ref="J500:J501" si="213">J516</f>
        <v>0</v>
      </c>
      <c r="K500" s="627">
        <f t="shared" ref="K500:K501" si="214">IF(I500&gt;0,J500*100/I500,0)</f>
        <v>0</v>
      </c>
      <c r="L500" s="628"/>
      <c r="M500" s="628"/>
      <c r="N500" s="628"/>
      <c r="O500" s="628"/>
      <c r="P500" s="628"/>
      <c r="Q500" s="597"/>
      <c r="R500" s="597"/>
      <c r="S500" s="597"/>
      <c r="T500" s="597"/>
      <c r="U500" s="597"/>
      <c r="V500" s="597"/>
      <c r="W500" s="597"/>
      <c r="X500" s="597"/>
      <c r="Y500" s="597"/>
      <c r="Z500" s="597"/>
    </row>
    <row r="501" spans="1:26" ht="19.5" hidden="1">
      <c r="A501" s="629"/>
      <c r="B501" s="631" t="s">
        <v>220</v>
      </c>
      <c r="C501" s="631"/>
      <c r="D501" s="632"/>
      <c r="E501" s="632"/>
      <c r="F501" s="632"/>
      <c r="G501" s="633"/>
      <c r="H501" s="634" t="s">
        <v>35</v>
      </c>
      <c r="I501" s="635"/>
      <c r="J501" s="635">
        <f t="shared" si="213"/>
        <v>0</v>
      </c>
      <c r="K501" s="636">
        <f t="shared" si="214"/>
        <v>0</v>
      </c>
      <c r="L501" s="637"/>
      <c r="M501" s="637"/>
      <c r="N501" s="637"/>
      <c r="O501" s="637"/>
      <c r="P501" s="637"/>
      <c r="Q501" s="597"/>
      <c r="R501" s="597"/>
      <c r="S501" s="597"/>
      <c r="T501" s="597"/>
      <c r="U501" s="597"/>
      <c r="V501" s="597"/>
      <c r="W501" s="597"/>
      <c r="X501" s="597"/>
      <c r="Y501" s="597"/>
      <c r="Z501" s="597"/>
    </row>
    <row r="502" spans="1:26" ht="19.5" hidden="1">
      <c r="A502" s="592"/>
      <c r="B502" s="750"/>
      <c r="C502" s="750" t="s">
        <v>16</v>
      </c>
      <c r="D502" s="839" t="s">
        <v>17</v>
      </c>
      <c r="E502" s="832"/>
      <c r="F502" s="832"/>
      <c r="G502" s="596"/>
      <c r="H502" s="639" t="s">
        <v>12</v>
      </c>
      <c r="I502" s="610"/>
      <c r="J502" s="610"/>
      <c r="K502" s="93"/>
      <c r="L502" s="640">
        <f t="shared" ref="L502:N502" si="215">L503+L504</f>
        <v>0</v>
      </c>
      <c r="M502" s="640">
        <f t="shared" si="215"/>
        <v>0</v>
      </c>
      <c r="N502" s="640">
        <f t="shared" si="215"/>
        <v>0</v>
      </c>
      <c r="O502" s="640">
        <f t="shared" ref="O502:O507" si="216">IF(L502&gt;0,N502*100/L502,0)</f>
        <v>0</v>
      </c>
      <c r="P502" s="640">
        <f t="shared" ref="P502:P507" si="217">IF(M502&gt;0,N502*100/M502,0)</f>
        <v>0</v>
      </c>
      <c r="Q502" s="597"/>
      <c r="R502" s="597"/>
      <c r="S502" s="597"/>
      <c r="T502" s="597"/>
      <c r="U502" s="597"/>
      <c r="V502" s="597"/>
      <c r="W502" s="597"/>
      <c r="X502" s="597"/>
      <c r="Y502" s="597"/>
      <c r="Z502" s="597"/>
    </row>
    <row r="503" spans="1:26" ht="18.75" hidden="1">
      <c r="A503" s="592"/>
      <c r="B503" s="750"/>
      <c r="C503" s="750"/>
      <c r="D503" s="711"/>
      <c r="E503" s="750" t="s">
        <v>184</v>
      </c>
      <c r="F503" s="750"/>
      <c r="G503" s="596"/>
      <c r="H503" s="165" t="s">
        <v>12</v>
      </c>
      <c r="I503" s="610"/>
      <c r="J503" s="610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7"/>
      <c r="R503" s="597"/>
      <c r="S503" s="597"/>
      <c r="T503" s="597"/>
      <c r="U503" s="597"/>
      <c r="V503" s="597"/>
      <c r="W503" s="597"/>
      <c r="X503" s="597"/>
      <c r="Y503" s="597"/>
      <c r="Z503" s="597"/>
    </row>
    <row r="504" spans="1:26" ht="18.75" hidden="1">
      <c r="A504" s="592"/>
      <c r="B504" s="600"/>
      <c r="C504" s="750"/>
      <c r="D504" s="711"/>
      <c r="E504" s="750" t="s">
        <v>185</v>
      </c>
      <c r="F504" s="750"/>
      <c r="G504" s="596"/>
      <c r="H504" s="165" t="s">
        <v>12</v>
      </c>
      <c r="I504" s="610"/>
      <c r="J504" s="610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7"/>
      <c r="R504" s="597"/>
      <c r="S504" s="597"/>
      <c r="T504" s="597"/>
      <c r="U504" s="597"/>
      <c r="V504" s="597"/>
      <c r="W504" s="597"/>
      <c r="X504" s="597"/>
      <c r="Y504" s="597"/>
      <c r="Z504" s="597"/>
    </row>
    <row r="505" spans="1:26" ht="18.75" hidden="1">
      <c r="A505" s="592"/>
      <c r="B505" s="600"/>
      <c r="C505" s="750"/>
      <c r="D505" s="641" t="s">
        <v>20</v>
      </c>
      <c r="E505" s="750"/>
      <c r="F505" s="750"/>
      <c r="G505" s="596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7"/>
      <c r="R505" s="597"/>
      <c r="S505" s="597"/>
      <c r="T505" s="597"/>
      <c r="U505" s="597"/>
      <c r="V505" s="597"/>
      <c r="W505" s="597"/>
      <c r="X505" s="597"/>
      <c r="Y505" s="597"/>
      <c r="Z505" s="597"/>
    </row>
    <row r="506" spans="1:26" ht="18.75" hidden="1">
      <c r="A506" s="592"/>
      <c r="B506" s="600"/>
      <c r="C506" s="750"/>
      <c r="D506" s="711"/>
      <c r="E506" s="750" t="s">
        <v>184</v>
      </c>
      <c r="F506" s="750"/>
      <c r="G506" s="596"/>
      <c r="H506" s="165" t="s">
        <v>12</v>
      </c>
      <c r="I506" s="610"/>
      <c r="J506" s="610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7"/>
      <c r="R506" s="597"/>
      <c r="S506" s="597"/>
      <c r="T506" s="597"/>
      <c r="U506" s="597"/>
      <c r="V506" s="597"/>
      <c r="W506" s="597"/>
      <c r="X506" s="597"/>
      <c r="Y506" s="597"/>
      <c r="Z506" s="597"/>
    </row>
    <row r="507" spans="1:26" ht="18.75" hidden="1">
      <c r="A507" s="592"/>
      <c r="B507" s="600"/>
      <c r="C507" s="750"/>
      <c r="D507" s="711"/>
      <c r="E507" s="750" t="s">
        <v>185</v>
      </c>
      <c r="F507" s="750"/>
      <c r="G507" s="596"/>
      <c r="H507" s="165" t="s">
        <v>12</v>
      </c>
      <c r="I507" s="610"/>
      <c r="J507" s="610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7"/>
      <c r="R507" s="597"/>
      <c r="S507" s="597"/>
      <c r="T507" s="597"/>
      <c r="U507" s="597"/>
      <c r="V507" s="597"/>
      <c r="W507" s="597"/>
      <c r="X507" s="597"/>
      <c r="Y507" s="597"/>
      <c r="Z507" s="597"/>
    </row>
    <row r="508" spans="1:26" ht="18.75" hidden="1">
      <c r="A508" s="642"/>
      <c r="B508" s="600"/>
      <c r="C508" s="750"/>
      <c r="D508" s="750"/>
      <c r="E508" s="750"/>
      <c r="F508" s="750" t="s">
        <v>186</v>
      </c>
      <c r="G508" s="596"/>
      <c r="H508" s="165" t="s">
        <v>12</v>
      </c>
      <c r="I508" s="610"/>
      <c r="J508" s="610"/>
      <c r="K508" s="93"/>
      <c r="L508" s="93"/>
      <c r="M508" s="93"/>
      <c r="N508" s="93">
        <v>0</v>
      </c>
      <c r="O508" s="93"/>
      <c r="P508" s="93"/>
      <c r="Q508" s="597"/>
      <c r="R508" s="597"/>
      <c r="S508" s="597"/>
      <c r="T508" s="597"/>
      <c r="U508" s="597"/>
      <c r="V508" s="597"/>
      <c r="W508" s="597"/>
      <c r="X508" s="597"/>
      <c r="Y508" s="597"/>
      <c r="Z508" s="597"/>
    </row>
    <row r="509" spans="1:26" ht="18.75" hidden="1">
      <c r="A509" s="642"/>
      <c r="B509" s="600"/>
      <c r="C509" s="750"/>
      <c r="D509" s="750"/>
      <c r="E509" s="750"/>
      <c r="F509" s="750" t="s">
        <v>187</v>
      </c>
      <c r="G509" s="596"/>
      <c r="H509" s="165" t="s">
        <v>12</v>
      </c>
      <c r="I509" s="610"/>
      <c r="J509" s="610"/>
      <c r="K509" s="93"/>
      <c r="L509" s="93"/>
      <c r="M509" s="93"/>
      <c r="N509" s="93">
        <v>0</v>
      </c>
      <c r="O509" s="93"/>
      <c r="P509" s="93"/>
      <c r="Q509" s="597"/>
      <c r="R509" s="597"/>
      <c r="S509" s="597"/>
      <c r="T509" s="597"/>
      <c r="U509" s="597"/>
      <c r="V509" s="597"/>
      <c r="W509" s="597"/>
      <c r="X509" s="597"/>
      <c r="Y509" s="597"/>
      <c r="Z509" s="597"/>
    </row>
    <row r="510" spans="1:26" ht="18.75" hidden="1">
      <c r="A510" s="642"/>
      <c r="B510" s="600"/>
      <c r="C510" s="600"/>
      <c r="D510" s="600"/>
      <c r="E510" s="750"/>
      <c r="F510" s="750" t="s">
        <v>188</v>
      </c>
      <c r="G510" s="596"/>
      <c r="H510" s="165" t="s">
        <v>12</v>
      </c>
      <c r="I510" s="610"/>
      <c r="J510" s="610"/>
      <c r="K510" s="93"/>
      <c r="L510" s="93"/>
      <c r="M510" s="93"/>
      <c r="N510" s="93">
        <v>0</v>
      </c>
      <c r="O510" s="93"/>
      <c r="P510" s="93"/>
      <c r="Q510" s="597"/>
      <c r="R510" s="597"/>
      <c r="S510" s="597"/>
      <c r="T510" s="597"/>
      <c r="U510" s="597"/>
      <c r="V510" s="597"/>
      <c r="W510" s="597"/>
      <c r="X510" s="597"/>
      <c r="Y510" s="597"/>
      <c r="Z510" s="597"/>
    </row>
    <row r="511" spans="1:26" ht="18.75" hidden="1">
      <c r="A511" s="642"/>
      <c r="B511" s="600"/>
      <c r="C511" s="600"/>
      <c r="D511" s="600"/>
      <c r="E511" s="750"/>
      <c r="F511" s="750" t="s">
        <v>189</v>
      </c>
      <c r="G511" s="596"/>
      <c r="H511" s="165" t="s">
        <v>12</v>
      </c>
      <c r="I511" s="610"/>
      <c r="J511" s="610"/>
      <c r="K511" s="93"/>
      <c r="L511" s="93"/>
      <c r="M511" s="93"/>
      <c r="N511" s="93">
        <v>0</v>
      </c>
      <c r="O511" s="93"/>
      <c r="P511" s="93"/>
      <c r="Q511" s="597"/>
      <c r="R511" s="597"/>
      <c r="S511" s="597"/>
      <c r="T511" s="597"/>
      <c r="U511" s="597"/>
      <c r="V511" s="597"/>
      <c r="W511" s="597"/>
      <c r="X511" s="597"/>
      <c r="Y511" s="597"/>
      <c r="Z511" s="597"/>
    </row>
    <row r="512" spans="1:26" ht="18.75" hidden="1">
      <c r="A512" s="592"/>
      <c r="B512" s="600"/>
      <c r="C512" s="600"/>
      <c r="D512" s="641" t="s">
        <v>21</v>
      </c>
      <c r="E512" s="600"/>
      <c r="F512" s="750"/>
      <c r="G512" s="596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7"/>
      <c r="R512" s="597"/>
      <c r="S512" s="597"/>
      <c r="T512" s="597"/>
      <c r="U512" s="597"/>
      <c r="V512" s="597"/>
      <c r="W512" s="597"/>
      <c r="X512" s="597"/>
      <c r="Y512" s="597"/>
      <c r="Z512" s="597"/>
    </row>
    <row r="513" spans="1:26" ht="18.75" hidden="1">
      <c r="A513" s="592"/>
      <c r="B513" s="600"/>
      <c r="C513" s="600"/>
      <c r="D513" s="600"/>
      <c r="E513" s="600" t="s">
        <v>18</v>
      </c>
      <c r="F513" s="750"/>
      <c r="G513" s="596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7"/>
      <c r="R513" s="597"/>
      <c r="S513" s="597"/>
      <c r="T513" s="597"/>
      <c r="U513" s="597"/>
      <c r="V513" s="597"/>
      <c r="W513" s="597"/>
      <c r="X513" s="597"/>
      <c r="Y513" s="597"/>
      <c r="Z513" s="597"/>
    </row>
    <row r="514" spans="1:26" ht="18.75" hidden="1">
      <c r="A514" s="592"/>
      <c r="B514" s="600"/>
      <c r="C514" s="600"/>
      <c r="D514" s="750"/>
      <c r="E514" s="600" t="s">
        <v>19</v>
      </c>
      <c r="F514" s="750"/>
      <c r="G514" s="596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7"/>
      <c r="R514" s="597"/>
      <c r="S514" s="597"/>
      <c r="T514" s="597"/>
      <c r="U514" s="597"/>
      <c r="V514" s="597"/>
      <c r="W514" s="597"/>
      <c r="X514" s="597"/>
      <c r="Y514" s="597"/>
      <c r="Z514" s="597"/>
    </row>
    <row r="515" spans="1:26" ht="19.5" hidden="1">
      <c r="A515" s="607"/>
      <c r="B515" s="609"/>
      <c r="C515" s="600" t="s">
        <v>16</v>
      </c>
      <c r="D515" s="862" t="s">
        <v>38</v>
      </c>
      <c r="E515" s="644"/>
      <c r="F515" s="644"/>
      <c r="G515" s="645"/>
      <c r="H515" s="365"/>
      <c r="I515" s="166"/>
      <c r="J515" s="166"/>
      <c r="K515" s="167"/>
      <c r="L515" s="167"/>
      <c r="M515" s="167"/>
      <c r="N515" s="167"/>
      <c r="O515" s="167"/>
      <c r="P515" s="167"/>
      <c r="Q515" s="597"/>
      <c r="R515" s="597"/>
      <c r="S515" s="597"/>
      <c r="T515" s="597"/>
      <c r="U515" s="597"/>
      <c r="V515" s="597"/>
      <c r="W515" s="597"/>
      <c r="X515" s="597"/>
      <c r="Y515" s="597"/>
      <c r="Z515" s="597"/>
    </row>
    <row r="516" spans="1:26" ht="18.75" hidden="1">
      <c r="A516" s="607"/>
      <c r="B516" s="609"/>
      <c r="C516" s="609"/>
      <c r="D516" s="609" t="s">
        <v>221</v>
      </c>
      <c r="E516" s="711"/>
      <c r="F516" s="711"/>
      <c r="G516" s="365"/>
      <c r="H516" s="646" t="s">
        <v>109</v>
      </c>
      <c r="I516" s="610"/>
      <c r="J516" s="610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7"/>
      <c r="R516" s="597"/>
      <c r="S516" s="597"/>
      <c r="T516" s="597"/>
      <c r="U516" s="597"/>
      <c r="V516" s="597"/>
      <c r="W516" s="597"/>
      <c r="X516" s="597"/>
      <c r="Y516" s="597"/>
      <c r="Z516" s="597"/>
    </row>
    <row r="517" spans="1:26" ht="19.5" hidden="1">
      <c r="A517" s="607"/>
      <c r="B517" s="609"/>
      <c r="C517" s="609"/>
      <c r="D517" s="609" t="s">
        <v>222</v>
      </c>
      <c r="E517" s="711"/>
      <c r="F517" s="711"/>
      <c r="G517" s="365"/>
      <c r="H517" s="647" t="s">
        <v>35</v>
      </c>
      <c r="I517" s="648"/>
      <c r="J517" s="648">
        <f>J518+J519</f>
        <v>0</v>
      </c>
      <c r="K517" s="649">
        <f t="shared" si="223"/>
        <v>0</v>
      </c>
      <c r="L517" s="167"/>
      <c r="M517" s="167"/>
      <c r="N517" s="167"/>
      <c r="O517" s="167"/>
      <c r="P517" s="167"/>
      <c r="Q517" s="597"/>
      <c r="R517" s="597"/>
      <c r="S517" s="597"/>
      <c r="T517" s="597"/>
      <c r="U517" s="597"/>
      <c r="V517" s="597"/>
      <c r="W517" s="597"/>
      <c r="X517" s="597"/>
      <c r="Y517" s="597"/>
      <c r="Z517" s="597"/>
    </row>
    <row r="518" spans="1:26" ht="18.75" hidden="1">
      <c r="A518" s="607"/>
      <c r="B518" s="609"/>
      <c r="C518" s="609"/>
      <c r="D518" s="609"/>
      <c r="E518" s="609" t="s">
        <v>223</v>
      </c>
      <c r="F518" s="711"/>
      <c r="G518" s="365"/>
      <c r="H518" s="369" t="s">
        <v>35</v>
      </c>
      <c r="I518" s="610"/>
      <c r="J518" s="610"/>
      <c r="K518" s="167"/>
      <c r="L518" s="167"/>
      <c r="M518" s="167"/>
      <c r="N518" s="167"/>
      <c r="O518" s="167"/>
      <c r="P518" s="167"/>
      <c r="Q518" s="597"/>
      <c r="R518" s="597"/>
      <c r="S518" s="597"/>
      <c r="T518" s="597"/>
      <c r="U518" s="597"/>
      <c r="V518" s="597"/>
      <c r="W518" s="597"/>
      <c r="X518" s="597"/>
      <c r="Y518" s="597"/>
      <c r="Z518" s="597"/>
    </row>
    <row r="519" spans="1:26" ht="18.75" hidden="1">
      <c r="A519" s="607"/>
      <c r="B519" s="609"/>
      <c r="C519" s="609"/>
      <c r="D519" s="609"/>
      <c r="E519" s="609" t="s">
        <v>224</v>
      </c>
      <c r="F519" s="711"/>
      <c r="G519" s="365"/>
      <c r="H519" s="646" t="s">
        <v>35</v>
      </c>
      <c r="I519" s="610"/>
      <c r="J519" s="610"/>
      <c r="K519" s="167"/>
      <c r="L519" s="167"/>
      <c r="M519" s="167"/>
      <c r="N519" s="167"/>
      <c r="O519" s="167"/>
      <c r="P519" s="167"/>
      <c r="Q519" s="597"/>
      <c r="R519" s="597"/>
      <c r="S519" s="597"/>
      <c r="T519" s="597"/>
      <c r="U519" s="597"/>
      <c r="V519" s="597"/>
      <c r="W519" s="597"/>
      <c r="X519" s="597"/>
      <c r="Y519" s="597"/>
      <c r="Z519" s="597"/>
    </row>
    <row r="520" spans="1:26" ht="19.5">
      <c r="A520" s="650" t="s">
        <v>137</v>
      </c>
      <c r="B520" s="651"/>
      <c r="C520" s="651"/>
      <c r="D520" s="652"/>
      <c r="E520" s="652"/>
      <c r="F520" s="652"/>
      <c r="G520" s="653"/>
      <c r="H520" s="654"/>
      <c r="I520" s="655"/>
      <c r="J520" s="655"/>
      <c r="K520" s="656"/>
      <c r="L520" s="656"/>
      <c r="M520" s="656"/>
      <c r="N520" s="656"/>
      <c r="O520" s="656"/>
      <c r="P520" s="656"/>
    </row>
    <row r="521" spans="1:26" ht="19.5" hidden="1">
      <c r="A521" s="657">
        <v>5</v>
      </c>
      <c r="B521" s="658" t="s">
        <v>225</v>
      </c>
      <c r="C521" s="659"/>
      <c r="D521" s="660"/>
      <c r="E521" s="660"/>
      <c r="F521" s="660"/>
      <c r="G521" s="660"/>
      <c r="H521" s="661"/>
      <c r="I521" s="662"/>
      <c r="J521" s="662"/>
      <c r="K521" s="663"/>
      <c r="L521" s="663"/>
      <c r="M521" s="663"/>
      <c r="N521" s="663"/>
      <c r="O521" s="663"/>
      <c r="P521" s="663"/>
      <c r="Q521" s="571"/>
      <c r="R521" s="571"/>
      <c r="S521" s="571"/>
      <c r="T521" s="571"/>
      <c r="U521" s="571"/>
      <c r="V521" s="571"/>
      <c r="W521" s="571"/>
      <c r="X521" s="571"/>
      <c r="Y521" s="571"/>
      <c r="Z521" s="571"/>
    </row>
    <row r="522" spans="1:26" ht="19.5" hidden="1">
      <c r="A522" s="664"/>
      <c r="B522" s="665" t="s">
        <v>226</v>
      </c>
      <c r="C522" s="666"/>
      <c r="D522" s="666"/>
      <c r="E522" s="666"/>
      <c r="F522" s="666"/>
      <c r="G522" s="667"/>
      <c r="H522" s="668" t="s">
        <v>35</v>
      </c>
      <c r="I522" s="699">
        <f t="shared" ref="I522:J522" ca="1" si="224">I537</f>
        <v>0</v>
      </c>
      <c r="J522" s="699">
        <f t="shared" ca="1" si="224"/>
        <v>0</v>
      </c>
      <c r="K522" s="670">
        <f ca="1">IF(I522&gt;0,J522*100/I522,0)</f>
        <v>0</v>
      </c>
      <c r="L522" s="671"/>
      <c r="M522" s="671"/>
      <c r="N522" s="671"/>
      <c r="O522" s="671"/>
      <c r="P522" s="671"/>
      <c r="Q522" s="571"/>
      <c r="R522" s="571"/>
      <c r="S522" s="571"/>
      <c r="T522" s="571"/>
      <c r="U522" s="571"/>
      <c r="V522" s="571"/>
      <c r="W522" s="571"/>
      <c r="X522" s="571"/>
      <c r="Y522" s="571"/>
      <c r="Z522" s="571"/>
    </row>
    <row r="523" spans="1:26" ht="19.5" hidden="1">
      <c r="A523" s="590"/>
      <c r="B523" s="754"/>
      <c r="C523" s="754" t="s">
        <v>16</v>
      </c>
      <c r="D523" s="838" t="s">
        <v>17</v>
      </c>
      <c r="E523" s="832"/>
      <c r="F523" s="832"/>
      <c r="G523" s="189"/>
      <c r="H523" s="591" t="s">
        <v>12</v>
      </c>
      <c r="I523" s="269"/>
      <c r="J523" s="269"/>
      <c r="K523" s="496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1"/>
      <c r="R523" s="571"/>
      <c r="S523" s="571"/>
      <c r="T523" s="571"/>
      <c r="U523" s="571"/>
      <c r="V523" s="571"/>
      <c r="W523" s="571"/>
      <c r="X523" s="571"/>
      <c r="Y523" s="571"/>
      <c r="Z523" s="571"/>
    </row>
    <row r="524" spans="1:26" ht="18.75" hidden="1">
      <c r="A524" s="592"/>
      <c r="B524" s="750"/>
      <c r="C524" s="750"/>
      <c r="D524" s="711"/>
      <c r="E524" s="750" t="s">
        <v>184</v>
      </c>
      <c r="F524" s="750"/>
      <c r="G524" s="596"/>
      <c r="H524" s="165" t="s">
        <v>12</v>
      </c>
      <c r="I524" s="610"/>
      <c r="J524" s="610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7"/>
      <c r="R524" s="597"/>
      <c r="S524" s="597"/>
      <c r="T524" s="597"/>
      <c r="U524" s="597"/>
      <c r="V524" s="597"/>
      <c r="W524" s="597"/>
      <c r="X524" s="597"/>
      <c r="Y524" s="597"/>
      <c r="Z524" s="597"/>
    </row>
    <row r="525" spans="1:26" ht="18.75" hidden="1">
      <c r="A525" s="592"/>
      <c r="B525" s="600"/>
      <c r="C525" s="750"/>
      <c r="D525" s="711"/>
      <c r="E525" s="750" t="s">
        <v>185</v>
      </c>
      <c r="F525" s="750"/>
      <c r="G525" s="596"/>
      <c r="H525" s="165" t="s">
        <v>12</v>
      </c>
      <c r="I525" s="610"/>
      <c r="J525" s="610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7"/>
      <c r="R525" s="597"/>
      <c r="S525" s="597"/>
      <c r="T525" s="597"/>
      <c r="U525" s="597"/>
      <c r="V525" s="597"/>
      <c r="W525" s="597"/>
      <c r="X525" s="597"/>
      <c r="Y525" s="597"/>
      <c r="Z525" s="597"/>
    </row>
    <row r="526" spans="1:26" ht="18.75" hidden="1">
      <c r="A526" s="590"/>
      <c r="B526" s="568"/>
      <c r="C526" s="754"/>
      <c r="D526" s="599" t="s">
        <v>20</v>
      </c>
      <c r="E526" s="754"/>
      <c r="F526" s="754"/>
      <c r="G526" s="189"/>
      <c r="H526" s="161" t="s">
        <v>12</v>
      </c>
      <c r="I526" s="184"/>
      <c r="J526" s="184"/>
      <c r="K526" s="163"/>
      <c r="L526" s="496">
        <f t="shared" ref="L526:N526" ca="1" si="229">L527+L528</f>
        <v>0</v>
      </c>
      <c r="M526" s="496">
        <f t="shared" si="229"/>
        <v>0</v>
      </c>
      <c r="N526" s="496">
        <f t="shared" si="229"/>
        <v>0</v>
      </c>
      <c r="O526" s="496">
        <f t="shared" ca="1" si="226"/>
        <v>0</v>
      </c>
      <c r="P526" s="496">
        <f t="shared" si="227"/>
        <v>0</v>
      </c>
      <c r="Q526" s="571"/>
      <c r="R526" s="571"/>
      <c r="S526" s="571"/>
      <c r="T526" s="571"/>
      <c r="U526" s="571"/>
      <c r="V526" s="571"/>
      <c r="W526" s="571"/>
      <c r="X526" s="571"/>
      <c r="Y526" s="571"/>
      <c r="Z526" s="571"/>
    </row>
    <row r="527" spans="1:26" ht="18.75" hidden="1">
      <c r="A527" s="592"/>
      <c r="B527" s="600"/>
      <c r="C527" s="750"/>
      <c r="D527" s="711"/>
      <c r="E527" s="750" t="s">
        <v>184</v>
      </c>
      <c r="F527" s="750"/>
      <c r="G527" s="596"/>
      <c r="H527" s="165" t="s">
        <v>12</v>
      </c>
      <c r="I527" s="610"/>
      <c r="J527" s="610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7"/>
      <c r="R527" s="597"/>
      <c r="S527" s="597"/>
      <c r="T527" s="597"/>
      <c r="U527" s="597"/>
      <c r="V527" s="597"/>
      <c r="W527" s="597"/>
      <c r="X527" s="597"/>
      <c r="Y527" s="597"/>
      <c r="Z527" s="597"/>
    </row>
    <row r="528" spans="1:26" ht="18.75" hidden="1">
      <c r="A528" s="592"/>
      <c r="B528" s="600"/>
      <c r="C528" s="750"/>
      <c r="D528" s="711"/>
      <c r="E528" s="750" t="s">
        <v>185</v>
      </c>
      <c r="F528" s="750"/>
      <c r="G528" s="596"/>
      <c r="H528" s="165" t="s">
        <v>12</v>
      </c>
      <c r="I528" s="610"/>
      <c r="J528" s="610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7"/>
      <c r="R528" s="597"/>
      <c r="S528" s="597"/>
      <c r="T528" s="597"/>
      <c r="U528" s="597"/>
      <c r="V528" s="597"/>
      <c r="W528" s="597"/>
      <c r="X528" s="597"/>
      <c r="Y528" s="597"/>
      <c r="Z528" s="597"/>
    </row>
    <row r="529" spans="1:26" ht="18.75" hidden="1">
      <c r="A529" s="567"/>
      <c r="B529" s="568"/>
      <c r="C529" s="754"/>
      <c r="D529" s="754"/>
      <c r="E529" s="754"/>
      <c r="F529" s="754" t="s">
        <v>186</v>
      </c>
      <c r="G529" s="189"/>
      <c r="H529" s="161" t="s">
        <v>12</v>
      </c>
      <c r="I529" s="269"/>
      <c r="J529" s="269"/>
      <c r="K529" s="496"/>
      <c r="L529" s="496"/>
      <c r="M529" s="496"/>
      <c r="N529" s="816">
        <v>0</v>
      </c>
      <c r="O529" s="496"/>
      <c r="P529" s="496"/>
      <c r="Q529" s="571"/>
      <c r="R529" s="571"/>
      <c r="S529" s="571"/>
      <c r="T529" s="571"/>
      <c r="U529" s="571"/>
      <c r="V529" s="571"/>
      <c r="W529" s="571"/>
      <c r="X529" s="571"/>
      <c r="Y529" s="571"/>
      <c r="Z529" s="571"/>
    </row>
    <row r="530" spans="1:26" ht="18.75" hidden="1">
      <c r="A530" s="567"/>
      <c r="B530" s="568"/>
      <c r="C530" s="754"/>
      <c r="D530" s="754"/>
      <c r="E530" s="754"/>
      <c r="F530" s="754" t="s">
        <v>187</v>
      </c>
      <c r="G530" s="189"/>
      <c r="H530" s="161" t="s">
        <v>12</v>
      </c>
      <c r="I530" s="269"/>
      <c r="J530" s="269"/>
      <c r="K530" s="496"/>
      <c r="L530" s="496"/>
      <c r="M530" s="496"/>
      <c r="N530" s="816">
        <v>0</v>
      </c>
      <c r="O530" s="496"/>
      <c r="P530" s="496"/>
      <c r="Q530" s="571"/>
      <c r="R530" s="571"/>
      <c r="S530" s="571"/>
      <c r="T530" s="571"/>
      <c r="U530" s="571"/>
      <c r="V530" s="571"/>
      <c r="W530" s="571"/>
      <c r="X530" s="571"/>
      <c r="Y530" s="571"/>
      <c r="Z530" s="571"/>
    </row>
    <row r="531" spans="1:26" ht="18.75" hidden="1">
      <c r="A531" s="567"/>
      <c r="B531" s="568"/>
      <c r="C531" s="754"/>
      <c r="D531" s="754"/>
      <c r="E531" s="754"/>
      <c r="F531" s="754" t="s">
        <v>188</v>
      </c>
      <c r="G531" s="189"/>
      <c r="H531" s="161" t="s">
        <v>12</v>
      </c>
      <c r="I531" s="269"/>
      <c r="J531" s="269"/>
      <c r="K531" s="496"/>
      <c r="L531" s="496"/>
      <c r="M531" s="496"/>
      <c r="N531" s="816">
        <v>0</v>
      </c>
      <c r="O531" s="496"/>
      <c r="P531" s="496"/>
      <c r="Q531" s="571"/>
      <c r="R531" s="571"/>
      <c r="S531" s="571"/>
      <c r="T531" s="571"/>
      <c r="U531" s="571"/>
      <c r="V531" s="571"/>
      <c r="W531" s="571"/>
      <c r="X531" s="571"/>
      <c r="Y531" s="571"/>
      <c r="Z531" s="571"/>
    </row>
    <row r="532" spans="1:26" ht="18.75" hidden="1">
      <c r="A532" s="567"/>
      <c r="B532" s="568"/>
      <c r="C532" s="754"/>
      <c r="D532" s="754"/>
      <c r="E532" s="754"/>
      <c r="F532" s="754" t="s">
        <v>189</v>
      </c>
      <c r="G532" s="189"/>
      <c r="H532" s="161" t="s">
        <v>12</v>
      </c>
      <c r="I532" s="269"/>
      <c r="J532" s="269"/>
      <c r="K532" s="496"/>
      <c r="L532" s="496"/>
      <c r="M532" s="496"/>
      <c r="N532" s="816">
        <v>0</v>
      </c>
      <c r="O532" s="496"/>
      <c r="P532" s="496"/>
      <c r="Q532" s="571"/>
      <c r="R532" s="571"/>
      <c r="S532" s="571"/>
      <c r="T532" s="571"/>
      <c r="U532" s="571"/>
      <c r="V532" s="571"/>
      <c r="W532" s="571"/>
      <c r="X532" s="571"/>
      <c r="Y532" s="571"/>
      <c r="Z532" s="571"/>
    </row>
    <row r="533" spans="1:26" ht="18.75" hidden="1">
      <c r="A533" s="590"/>
      <c r="B533" s="568"/>
      <c r="C533" s="754"/>
      <c r="D533" s="599" t="s">
        <v>21</v>
      </c>
      <c r="E533" s="754"/>
      <c r="F533" s="754"/>
      <c r="G533" s="189"/>
      <c r="H533" s="168" t="s">
        <v>12</v>
      </c>
      <c r="I533" s="184"/>
      <c r="J533" s="184"/>
      <c r="K533" s="163"/>
      <c r="L533" s="496">
        <f t="shared" ref="L533:N533" ca="1" si="230">L534+L535</f>
        <v>0</v>
      </c>
      <c r="M533" s="496">
        <f t="shared" si="230"/>
        <v>0</v>
      </c>
      <c r="N533" s="496">
        <f t="shared" si="230"/>
        <v>0</v>
      </c>
      <c r="O533" s="496">
        <f t="shared" ref="O533:O535" ca="1" si="231">IF(L533&gt;0,N533*100/L533,0)</f>
        <v>0</v>
      </c>
      <c r="P533" s="496">
        <f t="shared" ref="P533:P535" si="232">IF(M533&gt;0,N533*100/M533,0)</f>
        <v>0</v>
      </c>
      <c r="Q533" s="571"/>
      <c r="R533" s="571"/>
      <c r="S533" s="571"/>
      <c r="T533" s="571"/>
      <c r="U533" s="571"/>
      <c r="V533" s="571"/>
      <c r="W533" s="571"/>
      <c r="X533" s="571"/>
      <c r="Y533" s="571"/>
      <c r="Z533" s="571"/>
    </row>
    <row r="534" spans="1:26" ht="18.75" hidden="1">
      <c r="A534" s="592"/>
      <c r="B534" s="600"/>
      <c r="C534" s="750"/>
      <c r="D534" s="750"/>
      <c r="E534" s="750" t="s">
        <v>18</v>
      </c>
      <c r="F534" s="750"/>
      <c r="G534" s="596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7"/>
      <c r="R534" s="597"/>
      <c r="S534" s="597"/>
      <c r="T534" s="597"/>
      <c r="U534" s="597"/>
      <c r="V534" s="597"/>
      <c r="W534" s="597"/>
      <c r="X534" s="597"/>
      <c r="Y534" s="597"/>
      <c r="Z534" s="597"/>
    </row>
    <row r="535" spans="1:26" ht="18.75" hidden="1">
      <c r="A535" s="592"/>
      <c r="B535" s="600"/>
      <c r="C535" s="750"/>
      <c r="D535" s="750"/>
      <c r="E535" s="750" t="s">
        <v>19</v>
      </c>
      <c r="F535" s="750"/>
      <c r="G535" s="596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7"/>
      <c r="R535" s="597"/>
      <c r="S535" s="597"/>
      <c r="T535" s="597"/>
      <c r="U535" s="597"/>
      <c r="V535" s="597"/>
      <c r="W535" s="597"/>
      <c r="X535" s="597"/>
      <c r="Y535" s="597"/>
      <c r="Z535" s="597"/>
    </row>
    <row r="536" spans="1:26" ht="19.5" hidden="1">
      <c r="A536" s="601"/>
      <c r="B536" s="611"/>
      <c r="C536" s="754" t="s">
        <v>16</v>
      </c>
      <c r="D536" s="863" t="s">
        <v>38</v>
      </c>
      <c r="E536" s="752"/>
      <c r="F536" s="752"/>
      <c r="G536" s="606"/>
      <c r="H536" s="753"/>
      <c r="I536" s="184"/>
      <c r="J536" s="184"/>
      <c r="K536" s="163"/>
      <c r="L536" s="163"/>
      <c r="M536" s="163"/>
      <c r="N536" s="163"/>
      <c r="O536" s="163"/>
      <c r="P536" s="163"/>
      <c r="Q536" s="571"/>
      <c r="R536" s="571"/>
      <c r="S536" s="571"/>
      <c r="T536" s="571"/>
      <c r="U536" s="571"/>
      <c r="V536" s="571"/>
      <c r="W536" s="571"/>
      <c r="X536" s="571"/>
      <c r="Y536" s="571"/>
      <c r="Z536" s="571"/>
    </row>
    <row r="537" spans="1:26" ht="19.5" hidden="1">
      <c r="A537" s="567"/>
      <c r="B537" s="568"/>
      <c r="C537" s="754"/>
      <c r="D537" s="754" t="s">
        <v>227</v>
      </c>
      <c r="E537" s="754"/>
      <c r="F537" s="754"/>
      <c r="G537" s="189"/>
      <c r="H537" s="616" t="s">
        <v>35</v>
      </c>
      <c r="I537" s="674">
        <f ca="1">IFERROR(__xludf.DUMMYFUNCTION("IMPORTRANGE(""https://docs.google.com/spreadsheets/d/1QqKyyYR6Q21VydFLVH3TRQUabQu_ym0Zz7PgGX0-kHA/edit?usp=sharing"",""แผน!GU39"")"),0)</f>
        <v>0</v>
      </c>
      <c r="J537" s="674">
        <f ca="1">IF(AND(J538=I538,J539=I539,J540=I540,J541=I541),I537,0)</f>
        <v>0</v>
      </c>
      <c r="K537" s="496">
        <f t="shared" ref="K537:K543" ca="1" si="233">IF(I537&gt;0,J537*100/I537,0)</f>
        <v>0</v>
      </c>
      <c r="L537" s="496"/>
      <c r="M537" s="496"/>
      <c r="N537" s="496"/>
      <c r="O537" s="496"/>
      <c r="P537" s="496"/>
      <c r="Q537" s="675"/>
      <c r="R537" s="675"/>
      <c r="S537" s="675"/>
      <c r="T537" s="675"/>
      <c r="U537" s="675"/>
      <c r="V537" s="675"/>
      <c r="W537" s="675"/>
      <c r="X537" s="675"/>
      <c r="Y537" s="675"/>
      <c r="Z537" s="675"/>
    </row>
    <row r="538" spans="1:26" ht="18.75" hidden="1">
      <c r="A538" s="567"/>
      <c r="B538" s="568"/>
      <c r="C538" s="754"/>
      <c r="D538" s="754"/>
      <c r="E538" s="754" t="s">
        <v>228</v>
      </c>
      <c r="F538" s="754"/>
      <c r="G538" s="189"/>
      <c r="H538" s="616" t="s">
        <v>35</v>
      </c>
      <c r="I538" s="269">
        <f ca="1">IFERROR(__xludf.DUMMYFUNCTION("IMPORTRANGE(""https://docs.google.com/spreadsheets/d/1QqKyyYR6Q21VydFLVH3TRQUabQu_ym0Zz7PgGX0-kHA/edit?usp=sharing"",""แผน!GV39"")"),0)</f>
        <v>0</v>
      </c>
      <c r="J538" s="214">
        <v>0</v>
      </c>
      <c r="K538" s="496">
        <f t="shared" ca="1" si="233"/>
        <v>0</v>
      </c>
      <c r="L538" s="496"/>
      <c r="M538" s="496"/>
      <c r="N538" s="496"/>
      <c r="O538" s="496"/>
      <c r="P538" s="496"/>
      <c r="Q538" s="675"/>
      <c r="R538" s="675"/>
      <c r="S538" s="675"/>
      <c r="T538" s="675"/>
      <c r="U538" s="675"/>
      <c r="V538" s="675"/>
      <c r="W538" s="675"/>
      <c r="X538" s="675"/>
      <c r="Y538" s="675"/>
      <c r="Z538" s="675"/>
    </row>
    <row r="539" spans="1:26" ht="18.75" hidden="1">
      <c r="A539" s="567"/>
      <c r="B539" s="568"/>
      <c r="C539" s="754"/>
      <c r="D539" s="754"/>
      <c r="E539" s="754" t="s">
        <v>229</v>
      </c>
      <c r="F539" s="754"/>
      <c r="G539" s="189"/>
      <c r="H539" s="616" t="s">
        <v>35</v>
      </c>
      <c r="I539" s="269">
        <f ca="1">IFERROR(__xludf.DUMMYFUNCTION("IMPORTRANGE(""https://docs.google.com/spreadsheets/d/1QqKyyYR6Q21VydFLVH3TRQUabQu_ym0Zz7PgGX0-kHA/edit?usp=sharing"",""แผน!GW39"")"),0)</f>
        <v>0</v>
      </c>
      <c r="J539" s="214">
        <v>0</v>
      </c>
      <c r="K539" s="496">
        <f t="shared" ca="1" si="233"/>
        <v>0</v>
      </c>
      <c r="L539" s="496"/>
      <c r="M539" s="496"/>
      <c r="N539" s="496"/>
      <c r="O539" s="496"/>
      <c r="P539" s="496"/>
      <c r="Q539" s="675"/>
      <c r="R539" s="675"/>
      <c r="S539" s="675"/>
      <c r="T539" s="675"/>
      <c r="U539" s="675"/>
      <c r="V539" s="675"/>
      <c r="W539" s="675"/>
      <c r="X539" s="675"/>
      <c r="Y539" s="675"/>
      <c r="Z539" s="675"/>
    </row>
    <row r="540" spans="1:26" ht="18.75" hidden="1">
      <c r="A540" s="567"/>
      <c r="B540" s="568"/>
      <c r="C540" s="754"/>
      <c r="D540" s="754"/>
      <c r="E540" s="754" t="s">
        <v>230</v>
      </c>
      <c r="F540" s="754"/>
      <c r="G540" s="189"/>
      <c r="H540" s="616" t="s">
        <v>35</v>
      </c>
      <c r="I540" s="269">
        <f ca="1">IFERROR(__xludf.DUMMYFUNCTION("IMPORTRANGE(""https://docs.google.com/spreadsheets/d/1QqKyyYR6Q21VydFLVH3TRQUabQu_ym0Zz7PgGX0-kHA/edit?usp=sharing"",""แผน!GX39"")"),0)</f>
        <v>0</v>
      </c>
      <c r="J540" s="214">
        <v>0</v>
      </c>
      <c r="K540" s="496">
        <f t="shared" ca="1" si="233"/>
        <v>0</v>
      </c>
      <c r="L540" s="496"/>
      <c r="M540" s="496"/>
      <c r="N540" s="496"/>
      <c r="O540" s="496"/>
      <c r="P540" s="496"/>
      <c r="Q540" s="675"/>
      <c r="R540" s="675"/>
      <c r="S540" s="675"/>
      <c r="T540" s="675"/>
      <c r="U540" s="675"/>
      <c r="V540" s="675"/>
      <c r="W540" s="675"/>
      <c r="X540" s="675"/>
      <c r="Y540" s="675"/>
      <c r="Z540" s="675"/>
    </row>
    <row r="541" spans="1:26" ht="18.75" hidden="1">
      <c r="A541" s="567"/>
      <c r="B541" s="568"/>
      <c r="C541" s="754"/>
      <c r="D541" s="754"/>
      <c r="E541" s="760" t="s">
        <v>231</v>
      </c>
      <c r="F541" s="754"/>
      <c r="G541" s="189"/>
      <c r="H541" s="616" t="s">
        <v>35</v>
      </c>
      <c r="I541" s="269">
        <f ca="1">IFERROR(__xludf.DUMMYFUNCTION("IMPORTRANGE(""https://docs.google.com/spreadsheets/d/1QqKyyYR6Q21VydFLVH3TRQUabQu_ym0Zz7PgGX0-kHA/edit?usp=sharing"",""แผน!GY39"")"),0)</f>
        <v>0</v>
      </c>
      <c r="J541" s="214">
        <v>0</v>
      </c>
      <c r="K541" s="496">
        <f t="shared" ca="1" si="233"/>
        <v>0</v>
      </c>
      <c r="L541" s="496"/>
      <c r="M541" s="496"/>
      <c r="N541" s="496"/>
      <c r="O541" s="496"/>
      <c r="P541" s="496"/>
      <c r="Q541" s="675"/>
      <c r="R541" s="675"/>
      <c r="S541" s="675"/>
      <c r="T541" s="675"/>
      <c r="U541" s="675"/>
      <c r="V541" s="675"/>
      <c r="W541" s="675"/>
      <c r="X541" s="675"/>
      <c r="Y541" s="675"/>
      <c r="Z541" s="675"/>
    </row>
    <row r="542" spans="1:26" ht="18.75" hidden="1">
      <c r="A542" s="567"/>
      <c r="B542" s="568"/>
      <c r="C542" s="754"/>
      <c r="D542" s="754" t="s">
        <v>59</v>
      </c>
      <c r="E542" s="754"/>
      <c r="F542" s="754"/>
      <c r="G542" s="189"/>
      <c r="H542" s="616" t="s">
        <v>35</v>
      </c>
      <c r="I542" s="269">
        <f ca="1">IFERROR(__xludf.DUMMYFUNCTION("IMPORTRANGE(""https://docs.google.com/spreadsheets/d/1QqKyyYR6Q21VydFLVH3TRQUabQu_ym0Zz7PgGX0-kHA/edit?usp=sharing"",""แผน!GZ39"")"),0)</f>
        <v>0</v>
      </c>
      <c r="J542" s="214">
        <v>0</v>
      </c>
      <c r="K542" s="496">
        <f t="shared" ca="1" si="233"/>
        <v>0</v>
      </c>
      <c r="L542" s="496"/>
      <c r="M542" s="496"/>
      <c r="N542" s="496"/>
      <c r="O542" s="496"/>
      <c r="P542" s="496"/>
      <c r="Q542" s="675"/>
      <c r="R542" s="675"/>
      <c r="S542" s="675"/>
      <c r="T542" s="675"/>
      <c r="U542" s="675"/>
      <c r="V542" s="675"/>
      <c r="W542" s="675"/>
      <c r="X542" s="675"/>
      <c r="Y542" s="675"/>
      <c r="Z542" s="675"/>
    </row>
    <row r="543" spans="1:26" ht="19.5">
      <c r="A543" s="657">
        <v>6</v>
      </c>
      <c r="B543" s="678" t="s">
        <v>232</v>
      </c>
      <c r="C543" s="660"/>
      <c r="D543" s="660"/>
      <c r="E543" s="660"/>
      <c r="F543" s="660"/>
      <c r="G543" s="661"/>
      <c r="H543" s="679" t="s">
        <v>46</v>
      </c>
      <c r="I543" s="680">
        <f t="shared" ref="I543:J543" ca="1" si="234">I559</f>
        <v>36261</v>
      </c>
      <c r="J543" s="680">
        <f t="shared" si="234"/>
        <v>0</v>
      </c>
      <c r="K543" s="681">
        <f t="shared" ca="1" si="233"/>
        <v>0</v>
      </c>
      <c r="L543" s="663"/>
      <c r="M543" s="663"/>
      <c r="N543" s="663"/>
      <c r="O543" s="663"/>
      <c r="P543" s="663"/>
      <c r="Q543" s="571"/>
      <c r="R543" s="571"/>
      <c r="S543" s="571"/>
      <c r="T543" s="571"/>
      <c r="U543" s="571"/>
      <c r="V543" s="571"/>
      <c r="W543" s="571"/>
      <c r="X543" s="571"/>
      <c r="Y543" s="571"/>
      <c r="Z543" s="571"/>
    </row>
    <row r="544" spans="1:26" ht="19.5">
      <c r="A544" s="682"/>
      <c r="B544" s="683"/>
      <c r="C544" s="683" t="s">
        <v>16</v>
      </c>
      <c r="D544" s="864" t="s">
        <v>17</v>
      </c>
      <c r="E544" s="837"/>
      <c r="F544" s="837"/>
      <c r="G544" s="684"/>
      <c r="H544" s="274" t="s">
        <v>12</v>
      </c>
      <c r="I544" s="419"/>
      <c r="J544" s="419"/>
      <c r="K544" s="154"/>
      <c r="L544" s="155">
        <f t="shared" ref="L544:N544" ca="1" si="235">L545+L546</f>
        <v>370339</v>
      </c>
      <c r="M544" s="155">
        <f t="shared" si="235"/>
        <v>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si="237">IF(M544&gt;0,N544*100/M544,0)</f>
        <v>0</v>
      </c>
      <c r="Q544" s="571"/>
      <c r="R544" s="571"/>
      <c r="S544" s="571"/>
      <c r="T544" s="571"/>
      <c r="U544" s="571"/>
      <c r="V544" s="571"/>
      <c r="W544" s="571"/>
      <c r="X544" s="571"/>
      <c r="Y544" s="571"/>
      <c r="Z544" s="571"/>
    </row>
    <row r="545" spans="1:26" ht="18.75" hidden="1">
      <c r="A545" s="592"/>
      <c r="B545" s="750"/>
      <c r="C545" s="750"/>
      <c r="D545" s="750"/>
      <c r="E545" s="750" t="s">
        <v>184</v>
      </c>
      <c r="F545" s="750"/>
      <c r="G545" s="596"/>
      <c r="H545" s="165" t="s">
        <v>12</v>
      </c>
      <c r="I545" s="610"/>
      <c r="J545" s="610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7"/>
      <c r="R545" s="597"/>
      <c r="S545" s="597"/>
      <c r="T545" s="597"/>
      <c r="U545" s="597"/>
      <c r="V545" s="597"/>
      <c r="W545" s="597"/>
      <c r="X545" s="597"/>
      <c r="Y545" s="597"/>
      <c r="Z545" s="597"/>
    </row>
    <row r="546" spans="1:26" ht="18.75" hidden="1">
      <c r="A546" s="592"/>
      <c r="B546" s="600"/>
      <c r="C546" s="750"/>
      <c r="D546" s="750"/>
      <c r="E546" s="750" t="s">
        <v>185</v>
      </c>
      <c r="F546" s="750"/>
      <c r="G546" s="596"/>
      <c r="H546" s="165" t="s">
        <v>12</v>
      </c>
      <c r="I546" s="610"/>
      <c r="J546" s="610"/>
      <c r="K546" s="93"/>
      <c r="L546" s="93">
        <f t="shared" ca="1" si="238"/>
        <v>370339</v>
      </c>
      <c r="M546" s="93">
        <f t="shared" si="239"/>
        <v>0</v>
      </c>
      <c r="N546" s="93">
        <f t="shared" si="239"/>
        <v>0</v>
      </c>
      <c r="O546" s="93">
        <f t="shared" ca="1" si="236"/>
        <v>0</v>
      </c>
      <c r="P546" s="93">
        <f t="shared" si="237"/>
        <v>0</v>
      </c>
      <c r="Q546" s="597"/>
      <c r="R546" s="597"/>
      <c r="S546" s="597"/>
      <c r="T546" s="597"/>
      <c r="U546" s="597"/>
      <c r="V546" s="597"/>
      <c r="W546" s="597"/>
      <c r="X546" s="597"/>
      <c r="Y546" s="597"/>
      <c r="Z546" s="597"/>
    </row>
    <row r="547" spans="1:26" ht="18.75">
      <c r="A547" s="590"/>
      <c r="B547" s="568"/>
      <c r="C547" s="754"/>
      <c r="D547" s="599" t="s">
        <v>20</v>
      </c>
      <c r="E547" s="754"/>
      <c r="F547" s="754"/>
      <c r="G547" s="189"/>
      <c r="H547" s="161" t="s">
        <v>12</v>
      </c>
      <c r="I547" s="184"/>
      <c r="J547" s="184"/>
      <c r="K547" s="163"/>
      <c r="L547" s="496">
        <f t="shared" ref="L547:N547" ca="1" si="240">L548+L549</f>
        <v>370339</v>
      </c>
      <c r="M547" s="496">
        <f t="shared" si="240"/>
        <v>0</v>
      </c>
      <c r="N547" s="496">
        <f t="shared" si="240"/>
        <v>0</v>
      </c>
      <c r="O547" s="496">
        <f t="shared" ca="1" si="236"/>
        <v>0</v>
      </c>
      <c r="P547" s="496">
        <f t="shared" si="237"/>
        <v>0</v>
      </c>
      <c r="Q547" s="571"/>
      <c r="R547" s="571"/>
      <c r="S547" s="571"/>
      <c r="T547" s="571"/>
      <c r="U547" s="571"/>
      <c r="V547" s="571"/>
      <c r="W547" s="571"/>
      <c r="X547" s="571"/>
      <c r="Y547" s="571"/>
      <c r="Z547" s="571"/>
    </row>
    <row r="548" spans="1:26" ht="18.75" hidden="1">
      <c r="A548" s="592"/>
      <c r="B548" s="600"/>
      <c r="C548" s="750"/>
      <c r="D548" s="711"/>
      <c r="E548" s="750" t="s">
        <v>184</v>
      </c>
      <c r="F548" s="750"/>
      <c r="G548" s="596"/>
      <c r="H548" s="165" t="s">
        <v>12</v>
      </c>
      <c r="I548" s="610"/>
      <c r="J548" s="610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7"/>
      <c r="R548" s="597"/>
      <c r="S548" s="597"/>
      <c r="T548" s="597"/>
      <c r="U548" s="597"/>
      <c r="V548" s="597"/>
      <c r="W548" s="597"/>
      <c r="X548" s="597"/>
      <c r="Y548" s="597"/>
      <c r="Z548" s="597"/>
    </row>
    <row r="549" spans="1:26" ht="18.75" hidden="1">
      <c r="A549" s="592"/>
      <c r="B549" s="600"/>
      <c r="C549" s="750"/>
      <c r="D549" s="711"/>
      <c r="E549" s="750" t="s">
        <v>185</v>
      </c>
      <c r="F549" s="750"/>
      <c r="G549" s="596"/>
      <c r="H549" s="165" t="s">
        <v>12</v>
      </c>
      <c r="I549" s="610"/>
      <c r="J549" s="610"/>
      <c r="K549" s="93"/>
      <c r="L549" s="93">
        <f ca="1">IFERROR(__xludf.DUMMYFUNCTION("IMPORTRANGE(""https://docs.google.com/spreadsheets/d/1QqKyyYR6Q21VydFLVH3TRQUabQu_ym0Zz7PgGX0-kHA/edit?usp=sharing"",""แผน!HB39"")"),370339)</f>
        <v>370339</v>
      </c>
      <c r="M549" s="93">
        <v>0</v>
      </c>
      <c r="N549" s="93">
        <f>N550+N551+N552+N553+N554</f>
        <v>0</v>
      </c>
      <c r="O549" s="93">
        <f t="shared" ca="1" si="236"/>
        <v>0</v>
      </c>
      <c r="P549" s="93">
        <f t="shared" si="237"/>
        <v>0</v>
      </c>
      <c r="Q549" s="597"/>
      <c r="R549" s="597"/>
      <c r="S549" s="597"/>
      <c r="T549" s="597"/>
      <c r="U549" s="597"/>
      <c r="V549" s="597"/>
      <c r="W549" s="597"/>
      <c r="X549" s="597"/>
      <c r="Y549" s="597"/>
      <c r="Z549" s="597"/>
    </row>
    <row r="550" spans="1:26" ht="18.75">
      <c r="A550" s="567"/>
      <c r="B550" s="568"/>
      <c r="C550" s="754"/>
      <c r="D550" s="754"/>
      <c r="E550" s="754"/>
      <c r="F550" s="754" t="s">
        <v>186</v>
      </c>
      <c r="G550" s="189"/>
      <c r="H550" s="161" t="s">
        <v>12</v>
      </c>
      <c r="I550" s="269"/>
      <c r="J550" s="269"/>
      <c r="K550" s="496"/>
      <c r="L550" s="496"/>
      <c r="M550" s="496"/>
      <c r="N550" s="816">
        <v>0</v>
      </c>
      <c r="O550" s="496"/>
      <c r="P550" s="496"/>
      <c r="Q550" s="571"/>
      <c r="R550" s="571"/>
      <c r="S550" s="571"/>
      <c r="T550" s="571"/>
      <c r="U550" s="571"/>
      <c r="V550" s="571"/>
      <c r="W550" s="571"/>
      <c r="X550" s="571"/>
      <c r="Y550" s="571"/>
      <c r="Z550" s="571"/>
    </row>
    <row r="551" spans="1:26" ht="18.75">
      <c r="A551" s="567"/>
      <c r="B551" s="568"/>
      <c r="C551" s="568"/>
      <c r="D551" s="568"/>
      <c r="E551" s="754"/>
      <c r="F551" s="754" t="s">
        <v>187</v>
      </c>
      <c r="G551" s="189"/>
      <c r="H551" s="161" t="s">
        <v>12</v>
      </c>
      <c r="I551" s="269"/>
      <c r="J551" s="269"/>
      <c r="K551" s="496"/>
      <c r="L551" s="496"/>
      <c r="M551" s="496"/>
      <c r="N551" s="816">
        <v>0</v>
      </c>
      <c r="O551" s="496"/>
      <c r="P551" s="496"/>
      <c r="Q551" s="571"/>
      <c r="R551" s="571"/>
      <c r="S551" s="571"/>
      <c r="T551" s="571"/>
      <c r="U551" s="571"/>
      <c r="V551" s="571"/>
      <c r="W551" s="571"/>
      <c r="X551" s="571"/>
      <c r="Y551" s="571"/>
      <c r="Z551" s="571"/>
    </row>
    <row r="552" spans="1:26" ht="18.75">
      <c r="A552" s="567"/>
      <c r="B552" s="568"/>
      <c r="C552" s="754"/>
      <c r="D552" s="754"/>
      <c r="E552" s="754"/>
      <c r="F552" s="754" t="s">
        <v>188</v>
      </c>
      <c r="G552" s="189"/>
      <c r="H552" s="161" t="s">
        <v>12</v>
      </c>
      <c r="I552" s="269"/>
      <c r="J552" s="269"/>
      <c r="K552" s="496"/>
      <c r="L552" s="496"/>
      <c r="M552" s="496"/>
      <c r="N552" s="816">
        <v>0</v>
      </c>
      <c r="O552" s="496"/>
      <c r="P552" s="496"/>
      <c r="Q552" s="571"/>
      <c r="R552" s="571"/>
      <c r="S552" s="571"/>
      <c r="T552" s="571"/>
      <c r="U552" s="571"/>
      <c r="V552" s="571"/>
      <c r="W552" s="571"/>
      <c r="X552" s="571"/>
      <c r="Y552" s="571"/>
      <c r="Z552" s="571"/>
    </row>
    <row r="553" spans="1:26" ht="18.75">
      <c r="A553" s="567"/>
      <c r="B553" s="568"/>
      <c r="C553" s="568"/>
      <c r="D553" s="568"/>
      <c r="E553" s="754"/>
      <c r="F553" s="754" t="s">
        <v>189</v>
      </c>
      <c r="G553" s="189"/>
      <c r="H553" s="161" t="s">
        <v>12</v>
      </c>
      <c r="I553" s="269"/>
      <c r="J553" s="269"/>
      <c r="K553" s="496"/>
      <c r="L553" s="496"/>
      <c r="M553" s="496"/>
      <c r="N553" s="816">
        <v>0</v>
      </c>
      <c r="O553" s="496"/>
      <c r="P553" s="496"/>
      <c r="Q553" s="571"/>
      <c r="R553" s="571"/>
      <c r="S553" s="571"/>
      <c r="T553" s="571"/>
      <c r="U553" s="571"/>
      <c r="V553" s="571"/>
      <c r="W553" s="571"/>
      <c r="X553" s="571"/>
      <c r="Y553" s="571"/>
      <c r="Z553" s="571"/>
    </row>
    <row r="554" spans="1:26" ht="18.75">
      <c r="A554" s="567"/>
      <c r="B554" s="568"/>
      <c r="C554" s="568"/>
      <c r="D554" s="568"/>
      <c r="E554" s="754"/>
      <c r="F554" s="754" t="s">
        <v>233</v>
      </c>
      <c r="G554" s="189"/>
      <c r="H554" s="161" t="s">
        <v>12</v>
      </c>
      <c r="I554" s="269"/>
      <c r="J554" s="269"/>
      <c r="K554" s="496"/>
      <c r="L554" s="496"/>
      <c r="M554" s="496"/>
      <c r="N554" s="816">
        <v>0</v>
      </c>
      <c r="O554" s="496"/>
      <c r="P554" s="496"/>
      <c r="Q554" s="571"/>
      <c r="R554" s="571"/>
      <c r="S554" s="571"/>
      <c r="T554" s="571"/>
      <c r="U554" s="571"/>
      <c r="V554" s="571"/>
      <c r="W554" s="571"/>
      <c r="X554" s="571"/>
      <c r="Y554" s="571"/>
      <c r="Z554" s="571"/>
    </row>
    <row r="555" spans="1:26" ht="18.75">
      <c r="A555" s="590"/>
      <c r="B555" s="568"/>
      <c r="C555" s="568"/>
      <c r="D555" s="599" t="s">
        <v>21</v>
      </c>
      <c r="E555" s="754"/>
      <c r="F555" s="754"/>
      <c r="G555" s="189"/>
      <c r="H555" s="168" t="s">
        <v>12</v>
      </c>
      <c r="I555" s="184"/>
      <c r="J555" s="184"/>
      <c r="K555" s="163"/>
      <c r="L555" s="496">
        <f t="shared" ref="L555:N555" ca="1" si="241">L556+L557</f>
        <v>0</v>
      </c>
      <c r="M555" s="496">
        <f t="shared" si="241"/>
        <v>0</v>
      </c>
      <c r="N555" s="496">
        <f t="shared" si="241"/>
        <v>0</v>
      </c>
      <c r="O555" s="496">
        <f t="shared" ref="O555:O557" ca="1" si="242">IF(L555&gt;0,N555*100/L555,0)</f>
        <v>0</v>
      </c>
      <c r="P555" s="496">
        <f t="shared" ref="P555:P557" si="243">IF(M555&gt;0,N555*100/M555,0)</f>
        <v>0</v>
      </c>
      <c r="Q555" s="571"/>
      <c r="R555" s="571"/>
      <c r="S555" s="571"/>
      <c r="T555" s="571"/>
      <c r="U555" s="571"/>
      <c r="V555" s="571"/>
      <c r="W555" s="571"/>
      <c r="X555" s="571"/>
      <c r="Y555" s="571"/>
      <c r="Z555" s="571"/>
    </row>
    <row r="556" spans="1:26" ht="18.75" hidden="1">
      <c r="A556" s="592"/>
      <c r="B556" s="600"/>
      <c r="C556" s="600"/>
      <c r="D556" s="750"/>
      <c r="E556" s="750" t="s">
        <v>18</v>
      </c>
      <c r="F556" s="750"/>
      <c r="G556" s="596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7"/>
      <c r="R556" s="597"/>
      <c r="S556" s="597"/>
      <c r="T556" s="597"/>
      <c r="U556" s="597"/>
      <c r="V556" s="597"/>
      <c r="W556" s="597"/>
      <c r="X556" s="597"/>
      <c r="Y556" s="597"/>
      <c r="Z556" s="597"/>
    </row>
    <row r="557" spans="1:26" ht="18.75" hidden="1">
      <c r="A557" s="592"/>
      <c r="B557" s="600"/>
      <c r="C557" s="600"/>
      <c r="D557" s="750"/>
      <c r="E557" s="750" t="s">
        <v>19</v>
      </c>
      <c r="F557" s="750"/>
      <c r="G557" s="596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7"/>
      <c r="R557" s="597"/>
      <c r="S557" s="597"/>
      <c r="T557" s="597"/>
      <c r="U557" s="597"/>
      <c r="V557" s="597"/>
      <c r="W557" s="597"/>
      <c r="X557" s="597"/>
      <c r="Y557" s="597"/>
      <c r="Z557" s="597"/>
    </row>
    <row r="558" spans="1:26" ht="19.5">
      <c r="A558" s="601"/>
      <c r="B558" s="611"/>
      <c r="C558" s="568" t="s">
        <v>16</v>
      </c>
      <c r="D558" s="863" t="s">
        <v>38</v>
      </c>
      <c r="E558" s="752"/>
      <c r="F558" s="752"/>
      <c r="G558" s="606"/>
      <c r="H558" s="753"/>
      <c r="I558" s="184"/>
      <c r="J558" s="184"/>
      <c r="K558" s="163"/>
      <c r="L558" s="163"/>
      <c r="M558" s="163"/>
      <c r="N558" s="163"/>
      <c r="O558" s="163"/>
      <c r="P558" s="163"/>
      <c r="Q558" s="571"/>
      <c r="R558" s="571"/>
      <c r="S558" s="571"/>
      <c r="T558" s="571"/>
      <c r="U558" s="571"/>
      <c r="V558" s="571"/>
      <c r="W558" s="571"/>
      <c r="X558" s="571"/>
      <c r="Y558" s="571"/>
      <c r="Z558" s="571"/>
    </row>
    <row r="559" spans="1:26" ht="19.5">
      <c r="A559" s="685"/>
      <c r="B559" s="686" t="s">
        <v>234</v>
      </c>
      <c r="C559" s="687"/>
      <c r="D559" s="687"/>
      <c r="E559" s="666"/>
      <c r="F559" s="666"/>
      <c r="G559" s="667"/>
      <c r="H559" s="688" t="s">
        <v>46</v>
      </c>
      <c r="I559" s="699">
        <f t="shared" ref="I559:J559" ca="1" si="244">I576</f>
        <v>36261</v>
      </c>
      <c r="J559" s="699">
        <f t="shared" si="244"/>
        <v>0</v>
      </c>
      <c r="K559" s="670">
        <f t="shared" ref="K559:K561" ca="1" si="245">IF(I559&gt;0,J559*100/I559,0)</f>
        <v>0</v>
      </c>
      <c r="L559" s="671"/>
      <c r="M559" s="671"/>
      <c r="N559" s="671"/>
      <c r="O559" s="671"/>
      <c r="P559" s="671"/>
      <c r="Q559" s="571"/>
      <c r="R559" s="571"/>
      <c r="S559" s="571"/>
      <c r="T559" s="571"/>
      <c r="U559" s="571"/>
      <c r="V559" s="571"/>
      <c r="W559" s="571"/>
      <c r="X559" s="571"/>
      <c r="Y559" s="571"/>
      <c r="Z559" s="571"/>
    </row>
    <row r="560" spans="1:26" ht="19.5">
      <c r="A560" s="601"/>
      <c r="B560" s="611"/>
      <c r="C560" s="618" t="s">
        <v>235</v>
      </c>
      <c r="D560" s="611"/>
      <c r="E560" s="619"/>
      <c r="F560" s="619"/>
      <c r="G560" s="753"/>
      <c r="H560" s="758" t="s">
        <v>46</v>
      </c>
      <c r="I560" s="193">
        <f ca="1">IFERROR(__xludf.DUMMYFUNCTION("IMPORTRANGE(""https://docs.google.com/spreadsheets/d/1QqKyyYR6Q21VydFLVH3TRQUabQu_ym0Zz7PgGX0-kHA/edit?usp=sharing"",""แผน!HH39"")"),36261)</f>
        <v>36261</v>
      </c>
      <c r="J560" s="193">
        <f t="shared" ref="J560:J561" si="246">J562+J564+J566</f>
        <v>0</v>
      </c>
      <c r="K560" s="410">
        <f t="shared" ca="1" si="245"/>
        <v>0</v>
      </c>
      <c r="L560" s="163"/>
      <c r="M560" s="163"/>
      <c r="N560" s="163"/>
      <c r="O560" s="163"/>
      <c r="P560" s="163"/>
      <c r="Q560" s="571"/>
      <c r="R560" s="571"/>
      <c r="S560" s="571"/>
      <c r="T560" s="571"/>
      <c r="U560" s="571"/>
      <c r="V560" s="571"/>
      <c r="W560" s="571"/>
      <c r="X560" s="571"/>
      <c r="Y560" s="571"/>
      <c r="Z560" s="571"/>
    </row>
    <row r="561" spans="1:26" ht="19.5">
      <c r="A561" s="601"/>
      <c r="B561" s="611"/>
      <c r="C561" s="611"/>
      <c r="D561" s="619"/>
      <c r="E561" s="619"/>
      <c r="F561" s="619"/>
      <c r="G561" s="753"/>
      <c r="H561" s="758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6"/>
        <v>0</v>
      </c>
      <c r="K561" s="410">
        <f t="shared" ca="1" si="245"/>
        <v>0</v>
      </c>
      <c r="L561" s="163"/>
      <c r="M561" s="163"/>
      <c r="N561" s="163"/>
      <c r="O561" s="163"/>
      <c r="P561" s="163"/>
      <c r="Q561" s="571"/>
      <c r="R561" s="571"/>
      <c r="S561" s="571"/>
      <c r="T561" s="571"/>
      <c r="U561" s="571"/>
      <c r="V561" s="571"/>
      <c r="W561" s="571"/>
      <c r="X561" s="571"/>
      <c r="Y561" s="571"/>
      <c r="Z561" s="571"/>
    </row>
    <row r="562" spans="1:26" ht="18.75">
      <c r="A562" s="601"/>
      <c r="B562" s="611"/>
      <c r="C562" s="611"/>
      <c r="D562" s="619" t="s">
        <v>236</v>
      </c>
      <c r="E562" s="619"/>
      <c r="F562" s="619"/>
      <c r="G562" s="753"/>
      <c r="H562" s="755" t="s">
        <v>46</v>
      </c>
      <c r="I562" s="184"/>
      <c r="J562" s="214">
        <v>0</v>
      </c>
      <c r="K562" s="163"/>
      <c r="L562" s="163"/>
      <c r="M562" s="163"/>
      <c r="N562" s="163"/>
      <c r="O562" s="163"/>
      <c r="P562" s="163"/>
      <c r="Q562" s="571"/>
      <c r="R562" s="571"/>
      <c r="S562" s="571"/>
      <c r="T562" s="571"/>
      <c r="U562" s="571"/>
      <c r="V562" s="571"/>
      <c r="W562" s="571"/>
      <c r="X562" s="571"/>
      <c r="Y562" s="571"/>
      <c r="Z562" s="571"/>
    </row>
    <row r="563" spans="1:26" ht="18.75">
      <c r="A563" s="601"/>
      <c r="B563" s="611"/>
      <c r="C563" s="611"/>
      <c r="D563" s="611"/>
      <c r="E563" s="619"/>
      <c r="F563" s="619"/>
      <c r="G563" s="753"/>
      <c r="H563" s="755" t="s">
        <v>34</v>
      </c>
      <c r="I563" s="184"/>
      <c r="J563" s="214">
        <v>0</v>
      </c>
      <c r="K563" s="163"/>
      <c r="L563" s="163"/>
      <c r="M563" s="163"/>
      <c r="N563" s="163"/>
      <c r="O563" s="163"/>
      <c r="P563" s="163"/>
      <c r="Q563" s="571"/>
      <c r="R563" s="571"/>
      <c r="S563" s="571"/>
      <c r="T563" s="571"/>
      <c r="U563" s="571"/>
      <c r="V563" s="571"/>
      <c r="W563" s="571"/>
      <c r="X563" s="571"/>
      <c r="Y563" s="571"/>
      <c r="Z563" s="571"/>
    </row>
    <row r="564" spans="1:26" ht="18.75">
      <c r="A564" s="601"/>
      <c r="B564" s="611"/>
      <c r="C564" s="611"/>
      <c r="D564" s="619" t="s">
        <v>237</v>
      </c>
      <c r="E564" s="619"/>
      <c r="F564" s="619"/>
      <c r="G564" s="753"/>
      <c r="H564" s="755" t="s">
        <v>46</v>
      </c>
      <c r="I564" s="184"/>
      <c r="J564" s="214">
        <v>0</v>
      </c>
      <c r="K564" s="163"/>
      <c r="L564" s="163"/>
      <c r="M564" s="163"/>
      <c r="N564" s="163"/>
      <c r="O564" s="163"/>
      <c r="P564" s="163"/>
      <c r="Q564" s="571"/>
      <c r="R564" s="571"/>
      <c r="S564" s="571"/>
      <c r="T564" s="571"/>
      <c r="U564" s="571"/>
      <c r="V564" s="571"/>
      <c r="W564" s="571"/>
      <c r="X564" s="571"/>
      <c r="Y564" s="571"/>
      <c r="Z564" s="571"/>
    </row>
    <row r="565" spans="1:26" ht="18.75">
      <c r="A565" s="601"/>
      <c r="B565" s="611"/>
      <c r="C565" s="611"/>
      <c r="D565" s="619"/>
      <c r="E565" s="619"/>
      <c r="F565" s="619"/>
      <c r="G565" s="753"/>
      <c r="H565" s="755" t="s">
        <v>34</v>
      </c>
      <c r="I565" s="184"/>
      <c r="J565" s="214">
        <v>0</v>
      </c>
      <c r="K565" s="163"/>
      <c r="L565" s="163"/>
      <c r="M565" s="163"/>
      <c r="N565" s="163"/>
      <c r="O565" s="163"/>
      <c r="P565" s="163"/>
      <c r="Q565" s="571"/>
      <c r="R565" s="571"/>
      <c r="S565" s="571"/>
      <c r="T565" s="571"/>
      <c r="U565" s="571"/>
      <c r="V565" s="571"/>
      <c r="W565" s="571"/>
      <c r="X565" s="571"/>
      <c r="Y565" s="571"/>
      <c r="Z565" s="571"/>
    </row>
    <row r="566" spans="1:26" ht="18.75">
      <c r="A566" s="601"/>
      <c r="B566" s="611"/>
      <c r="C566" s="611"/>
      <c r="D566" s="619" t="s">
        <v>238</v>
      </c>
      <c r="E566" s="619"/>
      <c r="F566" s="619"/>
      <c r="G566" s="753"/>
      <c r="H566" s="755" t="s">
        <v>46</v>
      </c>
      <c r="I566" s="184"/>
      <c r="J566" s="214">
        <v>0</v>
      </c>
      <c r="K566" s="163"/>
      <c r="L566" s="163"/>
      <c r="M566" s="163"/>
      <c r="N566" s="163"/>
      <c r="O566" s="163"/>
      <c r="P566" s="163"/>
      <c r="Q566" s="571"/>
      <c r="R566" s="571"/>
      <c r="S566" s="571"/>
      <c r="T566" s="571"/>
      <c r="U566" s="571"/>
      <c r="V566" s="571"/>
      <c r="W566" s="571"/>
      <c r="X566" s="571"/>
      <c r="Y566" s="571"/>
      <c r="Z566" s="571"/>
    </row>
    <row r="567" spans="1:26" ht="18.75">
      <c r="A567" s="601"/>
      <c r="B567" s="611"/>
      <c r="C567" s="611"/>
      <c r="D567" s="619"/>
      <c r="E567" s="619"/>
      <c r="F567" s="619"/>
      <c r="G567" s="753"/>
      <c r="H567" s="755" t="s">
        <v>34</v>
      </c>
      <c r="I567" s="184"/>
      <c r="J567" s="214">
        <v>0</v>
      </c>
      <c r="K567" s="163"/>
      <c r="L567" s="163"/>
      <c r="M567" s="163"/>
      <c r="N567" s="163"/>
      <c r="O567" s="163"/>
      <c r="P567" s="163"/>
      <c r="Q567" s="571"/>
      <c r="R567" s="571"/>
      <c r="S567" s="571"/>
      <c r="T567" s="571"/>
      <c r="U567" s="571"/>
      <c r="V567" s="571"/>
      <c r="W567" s="571"/>
      <c r="X567" s="571"/>
      <c r="Y567" s="571"/>
      <c r="Z567" s="571"/>
    </row>
    <row r="568" spans="1:26" ht="19.5">
      <c r="A568" s="601"/>
      <c r="B568" s="611"/>
      <c r="C568" s="618" t="s">
        <v>239</v>
      </c>
      <c r="D568" s="619"/>
      <c r="E568" s="619"/>
      <c r="F568" s="619"/>
      <c r="G568" s="753"/>
      <c r="H568" s="758" t="s">
        <v>46</v>
      </c>
      <c r="I568" s="193">
        <f ca="1">IFERROR(__xludf.DUMMYFUNCTION("IMPORTRANGE(""https://docs.google.com/spreadsheets/d/1QqKyyYR6Q21VydFLVH3TRQUabQu_ym0Zz7PgGX0-kHA/edit?usp=sharing"",""แผน!HH39"")"),36261)</f>
        <v>36261</v>
      </c>
      <c r="J568" s="674">
        <f t="shared" ref="J568:J569" si="247">J570+J572+J574</f>
        <v>0</v>
      </c>
      <c r="K568" s="410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1"/>
      <c r="R568" s="571"/>
      <c r="S568" s="571"/>
      <c r="T568" s="571"/>
      <c r="U568" s="571"/>
      <c r="V568" s="571"/>
      <c r="W568" s="571"/>
      <c r="X568" s="571"/>
      <c r="Y568" s="571"/>
      <c r="Z568" s="571"/>
    </row>
    <row r="569" spans="1:26" ht="19.5">
      <c r="A569" s="601"/>
      <c r="B569" s="611"/>
      <c r="C569" s="611"/>
      <c r="D569" s="611"/>
      <c r="E569" s="619"/>
      <c r="F569" s="619"/>
      <c r="G569" s="753"/>
      <c r="H569" s="758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74">
        <f t="shared" si="247"/>
        <v>0</v>
      </c>
      <c r="K569" s="410">
        <f t="shared" ca="1" si="248"/>
        <v>0</v>
      </c>
      <c r="L569" s="163"/>
      <c r="M569" s="163"/>
      <c r="N569" s="163"/>
      <c r="O569" s="163"/>
      <c r="P569" s="163"/>
      <c r="Q569" s="571"/>
      <c r="R569" s="571"/>
      <c r="S569" s="571"/>
      <c r="T569" s="571"/>
      <c r="U569" s="571"/>
      <c r="V569" s="571"/>
      <c r="W569" s="571"/>
      <c r="X569" s="571"/>
      <c r="Y569" s="571"/>
      <c r="Z569" s="571"/>
    </row>
    <row r="570" spans="1:26" ht="18.75">
      <c r="A570" s="601"/>
      <c r="B570" s="611"/>
      <c r="C570" s="611"/>
      <c r="D570" s="619" t="s">
        <v>240</v>
      </c>
      <c r="E570" s="611"/>
      <c r="F570" s="619"/>
      <c r="G570" s="753"/>
      <c r="H570" s="755" t="s">
        <v>46</v>
      </c>
      <c r="I570" s="184"/>
      <c r="J570" s="214">
        <v>0</v>
      </c>
      <c r="K570" s="163"/>
      <c r="L570" s="163"/>
      <c r="M570" s="163"/>
      <c r="N570" s="163"/>
      <c r="O570" s="163"/>
      <c r="P570" s="163"/>
      <c r="Q570" s="571"/>
      <c r="R570" s="571"/>
      <c r="S570" s="571"/>
      <c r="T570" s="571"/>
      <c r="U570" s="571"/>
      <c r="V570" s="571"/>
      <c r="W570" s="571"/>
      <c r="X570" s="571"/>
      <c r="Y570" s="571"/>
      <c r="Z570" s="571"/>
    </row>
    <row r="571" spans="1:26" ht="18.75">
      <c r="A571" s="601"/>
      <c r="B571" s="611"/>
      <c r="C571" s="611"/>
      <c r="D571" s="611"/>
      <c r="E571" s="619"/>
      <c r="F571" s="619"/>
      <c r="G571" s="753"/>
      <c r="H571" s="755" t="s">
        <v>34</v>
      </c>
      <c r="I571" s="184"/>
      <c r="J571" s="214">
        <v>0</v>
      </c>
      <c r="K571" s="163"/>
      <c r="L571" s="163"/>
      <c r="M571" s="163"/>
      <c r="N571" s="163"/>
      <c r="O571" s="163"/>
      <c r="P571" s="163"/>
      <c r="Q571" s="571"/>
      <c r="R571" s="571"/>
      <c r="S571" s="571"/>
      <c r="T571" s="571"/>
      <c r="U571" s="571"/>
      <c r="V571" s="571"/>
      <c r="W571" s="571"/>
      <c r="X571" s="571"/>
      <c r="Y571" s="571"/>
      <c r="Z571" s="571"/>
    </row>
    <row r="572" spans="1:26" ht="18.75">
      <c r="A572" s="601"/>
      <c r="B572" s="611"/>
      <c r="C572" s="611"/>
      <c r="D572" s="619" t="s">
        <v>241</v>
      </c>
      <c r="E572" s="619"/>
      <c r="F572" s="619"/>
      <c r="G572" s="753"/>
      <c r="H572" s="755" t="s">
        <v>46</v>
      </c>
      <c r="I572" s="184"/>
      <c r="J572" s="214">
        <v>0</v>
      </c>
      <c r="K572" s="163"/>
      <c r="L572" s="163"/>
      <c r="M572" s="163"/>
      <c r="N572" s="163"/>
      <c r="O572" s="163"/>
      <c r="P572" s="163"/>
      <c r="Q572" s="571"/>
      <c r="R572" s="571"/>
      <c r="S572" s="571"/>
      <c r="T572" s="571"/>
      <c r="U572" s="571"/>
      <c r="V572" s="571"/>
      <c r="W572" s="571"/>
      <c r="X572" s="571"/>
      <c r="Y572" s="571"/>
      <c r="Z572" s="571"/>
    </row>
    <row r="573" spans="1:26" ht="18.75">
      <c r="A573" s="601"/>
      <c r="B573" s="611"/>
      <c r="C573" s="611"/>
      <c r="D573" s="619"/>
      <c r="E573" s="619"/>
      <c r="F573" s="619"/>
      <c r="G573" s="753"/>
      <c r="H573" s="755" t="s">
        <v>34</v>
      </c>
      <c r="I573" s="184"/>
      <c r="J573" s="214">
        <v>0</v>
      </c>
      <c r="K573" s="163"/>
      <c r="L573" s="163"/>
      <c r="M573" s="163"/>
      <c r="N573" s="163"/>
      <c r="O573" s="163"/>
      <c r="P573" s="163"/>
      <c r="Q573" s="571"/>
      <c r="R573" s="571"/>
      <c r="S573" s="571"/>
      <c r="T573" s="571"/>
      <c r="U573" s="571"/>
      <c r="V573" s="571"/>
      <c r="W573" s="571"/>
      <c r="X573" s="571"/>
      <c r="Y573" s="571"/>
      <c r="Z573" s="571"/>
    </row>
    <row r="574" spans="1:26" ht="18.75">
      <c r="A574" s="601"/>
      <c r="B574" s="611"/>
      <c r="C574" s="611"/>
      <c r="D574" s="619" t="s">
        <v>242</v>
      </c>
      <c r="E574" s="619"/>
      <c r="F574" s="619"/>
      <c r="G574" s="753"/>
      <c r="H574" s="755" t="s">
        <v>46</v>
      </c>
      <c r="I574" s="184"/>
      <c r="J574" s="214">
        <v>0</v>
      </c>
      <c r="K574" s="163"/>
      <c r="L574" s="163"/>
      <c r="M574" s="163"/>
      <c r="N574" s="163"/>
      <c r="O574" s="163"/>
      <c r="P574" s="163"/>
      <c r="Q574" s="571"/>
      <c r="R574" s="571"/>
      <c r="S574" s="571"/>
      <c r="T574" s="571"/>
      <c r="U574" s="571"/>
      <c r="V574" s="571"/>
      <c r="W574" s="571"/>
      <c r="X574" s="571"/>
      <c r="Y574" s="571"/>
      <c r="Z574" s="571"/>
    </row>
    <row r="575" spans="1:26" ht="18.75">
      <c r="A575" s="601"/>
      <c r="B575" s="611"/>
      <c r="C575" s="611"/>
      <c r="D575" s="611"/>
      <c r="E575" s="619"/>
      <c r="F575" s="619"/>
      <c r="G575" s="753"/>
      <c r="H575" s="755" t="s">
        <v>34</v>
      </c>
      <c r="I575" s="184"/>
      <c r="J575" s="214">
        <v>0</v>
      </c>
      <c r="K575" s="163"/>
      <c r="L575" s="163"/>
      <c r="M575" s="163"/>
      <c r="N575" s="163"/>
      <c r="O575" s="163"/>
      <c r="P575" s="163"/>
      <c r="Q575" s="571"/>
      <c r="R575" s="571"/>
      <c r="S575" s="571"/>
      <c r="T575" s="571"/>
      <c r="U575" s="571"/>
      <c r="V575" s="571"/>
      <c r="W575" s="571"/>
      <c r="X575" s="571"/>
      <c r="Y575" s="571"/>
      <c r="Z575" s="571"/>
    </row>
    <row r="576" spans="1:26" ht="19.5">
      <c r="A576" s="601"/>
      <c r="B576" s="611"/>
      <c r="C576" s="618" t="s">
        <v>243</v>
      </c>
      <c r="D576" s="611"/>
      <c r="E576" s="611"/>
      <c r="F576" s="619"/>
      <c r="G576" s="753"/>
      <c r="H576" s="758" t="s">
        <v>46</v>
      </c>
      <c r="I576" s="193">
        <f ca="1">IFERROR(__xludf.DUMMYFUNCTION("IMPORTRANGE(""https://docs.google.com/spreadsheets/d/1QqKyyYR6Q21VydFLVH3TRQUabQu_ym0Zz7PgGX0-kHA/edit?usp=sharing"",""แผน!HH39"")"),36261)</f>
        <v>36261</v>
      </c>
      <c r="J576" s="674">
        <f t="shared" ref="J576:J577" si="249">J578+J580+J582+J588+J590</f>
        <v>0</v>
      </c>
      <c r="K576" s="410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1"/>
      <c r="R576" s="571"/>
      <c r="S576" s="571"/>
      <c r="T576" s="571"/>
      <c r="U576" s="571"/>
      <c r="V576" s="571"/>
      <c r="W576" s="571"/>
      <c r="X576" s="571"/>
      <c r="Y576" s="571"/>
      <c r="Z576" s="571"/>
    </row>
    <row r="577" spans="1:26" ht="19.5">
      <c r="A577" s="601"/>
      <c r="B577" s="611"/>
      <c r="C577" s="611"/>
      <c r="D577" s="611"/>
      <c r="E577" s="619"/>
      <c r="F577" s="619"/>
      <c r="G577" s="753"/>
      <c r="H577" s="758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74">
        <f t="shared" si="249"/>
        <v>0</v>
      </c>
      <c r="K577" s="410">
        <f t="shared" ca="1" si="250"/>
        <v>0</v>
      </c>
      <c r="L577" s="163"/>
      <c r="M577" s="163"/>
      <c r="N577" s="163"/>
      <c r="O577" s="163"/>
      <c r="P577" s="163"/>
      <c r="Q577" s="571"/>
      <c r="R577" s="571"/>
      <c r="S577" s="571"/>
      <c r="T577" s="571"/>
      <c r="U577" s="571"/>
      <c r="V577" s="571"/>
      <c r="W577" s="571"/>
      <c r="X577" s="571"/>
      <c r="Y577" s="571"/>
      <c r="Z577" s="571"/>
    </row>
    <row r="578" spans="1:26" ht="18.75">
      <c r="A578" s="601"/>
      <c r="B578" s="611"/>
      <c r="C578" s="611"/>
      <c r="D578" s="619" t="s">
        <v>244</v>
      </c>
      <c r="E578" s="619"/>
      <c r="F578" s="619"/>
      <c r="G578" s="753"/>
      <c r="H578" s="755" t="s">
        <v>46</v>
      </c>
      <c r="I578" s="184"/>
      <c r="J578" s="214">
        <v>0</v>
      </c>
      <c r="K578" s="163"/>
      <c r="L578" s="163"/>
      <c r="M578" s="163"/>
      <c r="N578" s="163"/>
      <c r="O578" s="163"/>
      <c r="P578" s="163"/>
      <c r="Q578" s="571"/>
      <c r="R578" s="571"/>
      <c r="S578" s="571"/>
      <c r="T578" s="571"/>
      <c r="U578" s="571"/>
      <c r="V578" s="571"/>
      <c r="W578" s="571"/>
      <c r="X578" s="571"/>
      <c r="Y578" s="571"/>
      <c r="Z578" s="571"/>
    </row>
    <row r="579" spans="1:26" ht="18.75">
      <c r="A579" s="601"/>
      <c r="B579" s="611"/>
      <c r="C579" s="611"/>
      <c r="D579" s="611"/>
      <c r="E579" s="619"/>
      <c r="F579" s="619"/>
      <c r="G579" s="753"/>
      <c r="H579" s="755" t="s">
        <v>34</v>
      </c>
      <c r="I579" s="184"/>
      <c r="J579" s="214">
        <v>0</v>
      </c>
      <c r="K579" s="163"/>
      <c r="L579" s="163"/>
      <c r="M579" s="163"/>
      <c r="N579" s="163"/>
      <c r="O579" s="163"/>
      <c r="P579" s="163"/>
      <c r="Q579" s="571"/>
      <c r="R579" s="571"/>
      <c r="S579" s="571"/>
      <c r="T579" s="571"/>
      <c r="U579" s="571"/>
      <c r="V579" s="571"/>
      <c r="W579" s="571"/>
      <c r="X579" s="571"/>
      <c r="Y579" s="571"/>
      <c r="Z579" s="571"/>
    </row>
    <row r="580" spans="1:26" ht="18.75">
      <c r="A580" s="601"/>
      <c r="B580" s="611"/>
      <c r="C580" s="611"/>
      <c r="D580" s="619" t="s">
        <v>245</v>
      </c>
      <c r="E580" s="619"/>
      <c r="F580" s="619"/>
      <c r="G580" s="753"/>
      <c r="H580" s="755" t="s">
        <v>46</v>
      </c>
      <c r="I580" s="184"/>
      <c r="J580" s="214">
        <v>0</v>
      </c>
      <c r="K580" s="163"/>
      <c r="L580" s="163"/>
      <c r="M580" s="163"/>
      <c r="N580" s="163"/>
      <c r="O580" s="163"/>
      <c r="P580" s="163"/>
      <c r="Q580" s="571"/>
      <c r="R580" s="571"/>
      <c r="S580" s="571"/>
      <c r="T580" s="571"/>
      <c r="U580" s="571"/>
      <c r="V580" s="571"/>
      <c r="W580" s="571"/>
      <c r="X580" s="571"/>
      <c r="Y580" s="571"/>
      <c r="Z580" s="571"/>
    </row>
    <row r="581" spans="1:26" ht="18.75">
      <c r="A581" s="601"/>
      <c r="B581" s="611"/>
      <c r="C581" s="611"/>
      <c r="D581" s="611"/>
      <c r="E581" s="619"/>
      <c r="F581" s="619"/>
      <c r="G581" s="753"/>
      <c r="H581" s="755" t="s">
        <v>34</v>
      </c>
      <c r="I581" s="184"/>
      <c r="J581" s="214">
        <v>0</v>
      </c>
      <c r="K581" s="163"/>
      <c r="L581" s="163"/>
      <c r="M581" s="163"/>
      <c r="N581" s="163"/>
      <c r="O581" s="163"/>
      <c r="P581" s="163"/>
      <c r="Q581" s="571"/>
      <c r="R581" s="571"/>
      <c r="S581" s="571"/>
      <c r="T581" s="571"/>
      <c r="U581" s="571"/>
      <c r="V581" s="571"/>
      <c r="W581" s="571"/>
      <c r="X581" s="571"/>
      <c r="Y581" s="571"/>
      <c r="Z581" s="571"/>
    </row>
    <row r="582" spans="1:26" ht="19.5">
      <c r="A582" s="601"/>
      <c r="B582" s="611"/>
      <c r="C582" s="611"/>
      <c r="D582" s="619" t="s">
        <v>246</v>
      </c>
      <c r="E582" s="619"/>
      <c r="F582" s="619"/>
      <c r="G582" s="753"/>
      <c r="H582" s="755" t="s">
        <v>46</v>
      </c>
      <c r="I582" s="184"/>
      <c r="J582" s="674">
        <f t="shared" ref="J582:J583" si="251">J584+J586</f>
        <v>0</v>
      </c>
      <c r="K582" s="410"/>
      <c r="L582" s="163"/>
      <c r="M582" s="163"/>
      <c r="N582" s="163"/>
      <c r="O582" s="163"/>
      <c r="P582" s="163"/>
      <c r="Q582" s="571"/>
      <c r="R582" s="571"/>
      <c r="S582" s="571"/>
      <c r="T582" s="571"/>
      <c r="U582" s="571"/>
      <c r="V582" s="571"/>
      <c r="W582" s="571"/>
      <c r="X582" s="571"/>
      <c r="Y582" s="571"/>
      <c r="Z582" s="571"/>
    </row>
    <row r="583" spans="1:26" ht="19.5">
      <c r="A583" s="601"/>
      <c r="B583" s="611"/>
      <c r="C583" s="611"/>
      <c r="D583" s="611"/>
      <c r="E583" s="619"/>
      <c r="F583" s="619"/>
      <c r="G583" s="753"/>
      <c r="H583" s="755" t="s">
        <v>34</v>
      </c>
      <c r="I583" s="184"/>
      <c r="J583" s="674">
        <f t="shared" si="251"/>
        <v>0</v>
      </c>
      <c r="K583" s="410"/>
      <c r="L583" s="163"/>
      <c r="M583" s="163"/>
      <c r="N583" s="163"/>
      <c r="O583" s="163"/>
      <c r="P583" s="163"/>
      <c r="Q583" s="571"/>
      <c r="R583" s="571"/>
      <c r="S583" s="571"/>
      <c r="T583" s="571"/>
      <c r="U583" s="571"/>
      <c r="V583" s="571"/>
      <c r="W583" s="571"/>
      <c r="X583" s="571"/>
      <c r="Y583" s="571"/>
      <c r="Z583" s="571"/>
    </row>
    <row r="584" spans="1:26" ht="18.75">
      <c r="A584" s="601"/>
      <c r="B584" s="611"/>
      <c r="C584" s="611"/>
      <c r="D584" s="611"/>
      <c r="E584" s="619" t="s">
        <v>247</v>
      </c>
      <c r="F584" s="619"/>
      <c r="G584" s="753"/>
      <c r="H584" s="755" t="s">
        <v>46</v>
      </c>
      <c r="I584" s="184"/>
      <c r="J584" s="214">
        <v>0</v>
      </c>
      <c r="K584" s="163"/>
      <c r="L584" s="163"/>
      <c r="M584" s="163"/>
      <c r="N584" s="163"/>
      <c r="O584" s="163"/>
      <c r="P584" s="163"/>
      <c r="Q584" s="571"/>
      <c r="R584" s="571"/>
      <c r="S584" s="571"/>
      <c r="T584" s="571"/>
      <c r="U584" s="571"/>
      <c r="V584" s="571"/>
      <c r="W584" s="571"/>
      <c r="X584" s="571"/>
      <c r="Y584" s="571"/>
      <c r="Z584" s="571"/>
    </row>
    <row r="585" spans="1:26" ht="18.75">
      <c r="A585" s="601"/>
      <c r="B585" s="611"/>
      <c r="C585" s="611"/>
      <c r="D585" s="611"/>
      <c r="E585" s="619"/>
      <c r="F585" s="619"/>
      <c r="G585" s="753"/>
      <c r="H585" s="755" t="s">
        <v>34</v>
      </c>
      <c r="I585" s="184"/>
      <c r="J585" s="214">
        <v>0</v>
      </c>
      <c r="K585" s="163"/>
      <c r="L585" s="163"/>
      <c r="M585" s="163"/>
      <c r="N585" s="163"/>
      <c r="O585" s="163"/>
      <c r="P585" s="163"/>
      <c r="Q585" s="571"/>
      <c r="R585" s="571"/>
      <c r="S585" s="571"/>
      <c r="T585" s="571"/>
      <c r="U585" s="571"/>
      <c r="V585" s="571"/>
      <c r="W585" s="571"/>
      <c r="X585" s="571"/>
      <c r="Y585" s="571"/>
      <c r="Z585" s="571"/>
    </row>
    <row r="586" spans="1:26" ht="18.75">
      <c r="A586" s="601"/>
      <c r="B586" s="611"/>
      <c r="C586" s="611"/>
      <c r="D586" s="611"/>
      <c r="E586" s="619" t="s">
        <v>248</v>
      </c>
      <c r="F586" s="619"/>
      <c r="G586" s="753"/>
      <c r="H586" s="755" t="s">
        <v>46</v>
      </c>
      <c r="I586" s="184"/>
      <c r="J586" s="214">
        <v>0</v>
      </c>
      <c r="K586" s="163"/>
      <c r="L586" s="163"/>
      <c r="M586" s="163"/>
      <c r="N586" s="163"/>
      <c r="O586" s="163"/>
      <c r="P586" s="163"/>
      <c r="Q586" s="571"/>
      <c r="R586" s="571"/>
      <c r="S586" s="571"/>
      <c r="T586" s="571"/>
      <c r="U586" s="571"/>
      <c r="V586" s="571"/>
      <c r="W586" s="571"/>
      <c r="X586" s="571"/>
      <c r="Y586" s="571"/>
      <c r="Z586" s="571"/>
    </row>
    <row r="587" spans="1:26" ht="18.75">
      <c r="A587" s="601"/>
      <c r="B587" s="611"/>
      <c r="C587" s="611"/>
      <c r="D587" s="611"/>
      <c r="E587" s="611"/>
      <c r="F587" s="619"/>
      <c r="G587" s="753"/>
      <c r="H587" s="755" t="s">
        <v>34</v>
      </c>
      <c r="I587" s="184"/>
      <c r="J587" s="214">
        <v>0</v>
      </c>
      <c r="K587" s="163"/>
      <c r="L587" s="163"/>
      <c r="M587" s="163"/>
      <c r="N587" s="163"/>
      <c r="O587" s="163"/>
      <c r="P587" s="163"/>
      <c r="Q587" s="571"/>
      <c r="R587" s="571"/>
      <c r="S587" s="571"/>
      <c r="T587" s="571"/>
      <c r="U587" s="571"/>
      <c r="V587" s="571"/>
      <c r="W587" s="571"/>
      <c r="X587" s="571"/>
      <c r="Y587" s="571"/>
      <c r="Z587" s="571"/>
    </row>
    <row r="588" spans="1:26" ht="18.75">
      <c r="A588" s="601"/>
      <c r="B588" s="611"/>
      <c r="C588" s="611"/>
      <c r="D588" s="619" t="s">
        <v>249</v>
      </c>
      <c r="E588" s="619"/>
      <c r="F588" s="619"/>
      <c r="G588" s="753"/>
      <c r="H588" s="755" t="s">
        <v>46</v>
      </c>
      <c r="I588" s="184"/>
      <c r="J588" s="214">
        <v>0</v>
      </c>
      <c r="K588" s="163"/>
      <c r="L588" s="163"/>
      <c r="M588" s="163"/>
      <c r="N588" s="163"/>
      <c r="O588" s="163"/>
      <c r="P588" s="163"/>
      <c r="Q588" s="571"/>
      <c r="R588" s="571"/>
      <c r="S588" s="571"/>
      <c r="T588" s="571"/>
      <c r="U588" s="571"/>
      <c r="V588" s="571"/>
      <c r="W588" s="571"/>
      <c r="X588" s="571"/>
      <c r="Y588" s="571"/>
      <c r="Z588" s="571"/>
    </row>
    <row r="589" spans="1:26" ht="18.75">
      <c r="A589" s="601"/>
      <c r="B589" s="611"/>
      <c r="C589" s="611"/>
      <c r="D589" s="611"/>
      <c r="E589" s="611"/>
      <c r="F589" s="619"/>
      <c r="G589" s="753"/>
      <c r="H589" s="755" t="s">
        <v>34</v>
      </c>
      <c r="I589" s="184"/>
      <c r="J589" s="214">
        <v>0</v>
      </c>
      <c r="K589" s="163"/>
      <c r="L589" s="163"/>
      <c r="M589" s="163"/>
      <c r="N589" s="163"/>
      <c r="O589" s="163"/>
      <c r="P589" s="163"/>
      <c r="Q589" s="571"/>
      <c r="R589" s="571"/>
      <c r="S589" s="571"/>
      <c r="T589" s="571"/>
      <c r="U589" s="571"/>
      <c r="V589" s="571"/>
      <c r="W589" s="571"/>
      <c r="X589" s="571"/>
      <c r="Y589" s="571"/>
      <c r="Z589" s="571"/>
    </row>
    <row r="590" spans="1:26" ht="18.75">
      <c r="A590" s="601"/>
      <c r="B590" s="611"/>
      <c r="C590" s="611"/>
      <c r="D590" s="619" t="s">
        <v>250</v>
      </c>
      <c r="E590" s="619"/>
      <c r="F590" s="619"/>
      <c r="G590" s="753"/>
      <c r="H590" s="755" t="s">
        <v>46</v>
      </c>
      <c r="I590" s="184"/>
      <c r="J590" s="214">
        <v>0</v>
      </c>
      <c r="K590" s="163"/>
      <c r="L590" s="163"/>
      <c r="M590" s="163"/>
      <c r="N590" s="163"/>
      <c r="O590" s="163"/>
      <c r="P590" s="163"/>
      <c r="Q590" s="571"/>
      <c r="R590" s="571"/>
      <c r="S590" s="571"/>
      <c r="T590" s="571"/>
      <c r="U590" s="571"/>
      <c r="V590" s="571"/>
      <c r="W590" s="571"/>
      <c r="X590" s="571"/>
      <c r="Y590" s="571"/>
      <c r="Z590" s="571"/>
    </row>
    <row r="591" spans="1:26" ht="18.75">
      <c r="A591" s="689"/>
      <c r="B591" s="690"/>
      <c r="C591" s="690"/>
      <c r="D591" s="690"/>
      <c r="E591" s="571"/>
      <c r="F591" s="571"/>
      <c r="G591" s="691"/>
      <c r="H591" s="692" t="s">
        <v>34</v>
      </c>
      <c r="I591" s="693"/>
      <c r="J591" s="694">
        <v>0</v>
      </c>
      <c r="K591" s="695"/>
      <c r="L591" s="695"/>
      <c r="M591" s="695"/>
      <c r="N591" s="695"/>
      <c r="O591" s="695"/>
      <c r="P591" s="695"/>
      <c r="Q591" s="571"/>
      <c r="R591" s="571"/>
      <c r="S591" s="571"/>
      <c r="T591" s="571"/>
      <c r="U591" s="571"/>
      <c r="V591" s="571"/>
      <c r="W591" s="571"/>
      <c r="X591" s="571"/>
      <c r="Y591" s="571"/>
      <c r="Z591" s="571"/>
    </row>
    <row r="592" spans="1:26" ht="19.5">
      <c r="A592" s="685"/>
      <c r="B592" s="686" t="s">
        <v>251</v>
      </c>
      <c r="C592" s="687"/>
      <c r="D592" s="687"/>
      <c r="E592" s="666"/>
      <c r="F592" s="666"/>
      <c r="G592" s="667"/>
      <c r="H592" s="688" t="s">
        <v>46</v>
      </c>
      <c r="I592" s="699">
        <f t="shared" ref="I592:J592" ca="1" si="252">I593</f>
        <v>585</v>
      </c>
      <c r="J592" s="699">
        <f t="shared" si="252"/>
        <v>0</v>
      </c>
      <c r="K592" s="670">
        <f t="shared" ref="K592:K594" ca="1" si="253">IF(I592&gt;0,J592*100/I592,0)</f>
        <v>0</v>
      </c>
      <c r="L592" s="671"/>
      <c r="M592" s="671"/>
      <c r="N592" s="671"/>
      <c r="O592" s="671"/>
      <c r="P592" s="671"/>
      <c r="Q592" s="571"/>
      <c r="R592" s="571"/>
      <c r="S592" s="571"/>
      <c r="T592" s="571"/>
      <c r="U592" s="571"/>
      <c r="V592" s="571"/>
      <c r="W592" s="571"/>
      <c r="X592" s="571"/>
      <c r="Y592" s="571"/>
      <c r="Z592" s="571"/>
    </row>
    <row r="593" spans="1:26" ht="19.5">
      <c r="A593" s="601"/>
      <c r="B593" s="611"/>
      <c r="C593" s="618" t="s">
        <v>252</v>
      </c>
      <c r="D593" s="611"/>
      <c r="E593" s="611"/>
      <c r="F593" s="619"/>
      <c r="G593" s="753"/>
      <c r="H593" s="758" t="s">
        <v>46</v>
      </c>
      <c r="I593" s="193">
        <f ca="1">IFERROR(__xludf.DUMMYFUNCTION("IMPORTRANGE(""https://docs.google.com/spreadsheets/d/1QqKyyYR6Q21VydFLVH3TRQUabQu_ym0Zz7PgGX0-kHA/edit?usp=sharing"",""แผน!HJ39"")"),585)</f>
        <v>585</v>
      </c>
      <c r="J593" s="193">
        <f t="shared" ref="J593:J594" si="254">J595+J603+J609</f>
        <v>0</v>
      </c>
      <c r="K593" s="410">
        <f t="shared" ca="1" si="253"/>
        <v>0</v>
      </c>
      <c r="L593" s="163"/>
      <c r="M593" s="163"/>
      <c r="N593" s="163"/>
      <c r="O593" s="163"/>
      <c r="P593" s="163"/>
      <c r="Q593" s="571"/>
      <c r="R593" s="571"/>
      <c r="S593" s="571"/>
      <c r="T593" s="571"/>
      <c r="U593" s="571"/>
      <c r="V593" s="571"/>
      <c r="W593" s="571"/>
      <c r="X593" s="571"/>
      <c r="Y593" s="571"/>
      <c r="Z593" s="571"/>
    </row>
    <row r="594" spans="1:26" ht="19.5">
      <c r="A594" s="601"/>
      <c r="B594" s="611"/>
      <c r="C594" s="611"/>
      <c r="D594" s="611"/>
      <c r="E594" s="619"/>
      <c r="F594" s="619"/>
      <c r="G594" s="753"/>
      <c r="H594" s="758" t="s">
        <v>34</v>
      </c>
      <c r="I594" s="193">
        <f ca="1">IFERROR(__xludf.DUMMYFUNCTION("IMPORTRANGE(""https://docs.google.com/spreadsheets/d/1QqKyyYR6Q21VydFLVH3TRQUabQu_ym0Zz7PgGX0-kHA/edit?usp=sharing"",""แผน!HI39"")"),74)</f>
        <v>74</v>
      </c>
      <c r="J594" s="193">
        <f t="shared" si="254"/>
        <v>0</v>
      </c>
      <c r="K594" s="410">
        <f t="shared" ca="1" si="253"/>
        <v>0</v>
      </c>
      <c r="L594" s="163"/>
      <c r="M594" s="163"/>
      <c r="N594" s="163"/>
      <c r="O594" s="163"/>
      <c r="P594" s="163"/>
      <c r="Q594" s="571"/>
      <c r="R594" s="571"/>
      <c r="S594" s="571"/>
      <c r="T594" s="571"/>
      <c r="U594" s="571"/>
      <c r="V594" s="571"/>
      <c r="W594" s="571"/>
      <c r="X594" s="571"/>
      <c r="Y594" s="571"/>
      <c r="Z594" s="571"/>
    </row>
    <row r="595" spans="1:26" ht="18.75">
      <c r="A595" s="601"/>
      <c r="B595" s="611"/>
      <c r="C595" s="611" t="s">
        <v>253</v>
      </c>
      <c r="D595" s="611"/>
      <c r="E595" s="611"/>
      <c r="F595" s="619"/>
      <c r="G595" s="753"/>
      <c r="H595" s="755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1"/>
      <c r="R595" s="571"/>
      <c r="S595" s="571"/>
      <c r="T595" s="571"/>
      <c r="U595" s="571"/>
      <c r="V595" s="571"/>
      <c r="W595" s="571"/>
      <c r="X595" s="571"/>
      <c r="Y595" s="571"/>
      <c r="Z595" s="571"/>
    </row>
    <row r="596" spans="1:26" ht="18.75">
      <c r="A596" s="601"/>
      <c r="B596" s="611"/>
      <c r="C596" s="611"/>
      <c r="D596" s="611"/>
      <c r="E596" s="619"/>
      <c r="F596" s="619"/>
      <c r="G596" s="753"/>
      <c r="H596" s="755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1"/>
      <c r="R596" s="571"/>
      <c r="S596" s="571"/>
      <c r="T596" s="571"/>
      <c r="U596" s="571"/>
      <c r="V596" s="571"/>
      <c r="W596" s="571"/>
      <c r="X596" s="571"/>
      <c r="Y596" s="571"/>
      <c r="Z596" s="571"/>
    </row>
    <row r="597" spans="1:26" ht="18.75">
      <c r="A597" s="601"/>
      <c r="B597" s="611"/>
      <c r="C597" s="611"/>
      <c r="D597" s="737" t="s">
        <v>254</v>
      </c>
      <c r="E597" s="619"/>
      <c r="F597" s="619"/>
      <c r="G597" s="753"/>
      <c r="H597" s="755" t="s">
        <v>46</v>
      </c>
      <c r="I597" s="184"/>
      <c r="J597" s="214">
        <v>0</v>
      </c>
      <c r="K597" s="163"/>
      <c r="L597" s="163"/>
      <c r="M597" s="163"/>
      <c r="N597" s="163"/>
      <c r="O597" s="163"/>
      <c r="P597" s="163"/>
      <c r="Q597" s="571"/>
      <c r="R597" s="571"/>
      <c r="S597" s="571"/>
      <c r="T597" s="571"/>
      <c r="U597" s="571"/>
      <c r="V597" s="571"/>
      <c r="W597" s="571"/>
      <c r="X597" s="571"/>
      <c r="Y597" s="571"/>
      <c r="Z597" s="571"/>
    </row>
    <row r="598" spans="1:26" ht="18.75">
      <c r="A598" s="601"/>
      <c r="B598" s="611"/>
      <c r="C598" s="611"/>
      <c r="D598" s="611"/>
      <c r="E598" s="619"/>
      <c r="F598" s="619"/>
      <c r="G598" s="753"/>
      <c r="H598" s="755" t="s">
        <v>34</v>
      </c>
      <c r="I598" s="269"/>
      <c r="J598" s="214">
        <v>0</v>
      </c>
      <c r="K598" s="163"/>
      <c r="L598" s="163"/>
      <c r="M598" s="163"/>
      <c r="N598" s="163"/>
      <c r="O598" s="163"/>
      <c r="P598" s="163"/>
      <c r="Q598" s="571"/>
      <c r="R598" s="571"/>
      <c r="S598" s="571"/>
      <c r="T598" s="571"/>
      <c r="U598" s="571"/>
      <c r="V598" s="571"/>
      <c r="W598" s="571"/>
      <c r="X598" s="571"/>
      <c r="Y598" s="571"/>
      <c r="Z598" s="571"/>
    </row>
    <row r="599" spans="1:26" ht="18.75">
      <c r="A599" s="601"/>
      <c r="B599" s="611"/>
      <c r="C599" s="611"/>
      <c r="D599" s="737" t="s">
        <v>255</v>
      </c>
      <c r="E599" s="619"/>
      <c r="F599" s="619"/>
      <c r="G599" s="753"/>
      <c r="H599" s="755" t="s">
        <v>46</v>
      </c>
      <c r="I599" s="269"/>
      <c r="J599" s="214">
        <v>0</v>
      </c>
      <c r="K599" s="163"/>
      <c r="L599" s="163"/>
      <c r="M599" s="163"/>
      <c r="N599" s="163"/>
      <c r="O599" s="163"/>
      <c r="P599" s="163"/>
      <c r="Q599" s="571"/>
      <c r="R599" s="571"/>
      <c r="S599" s="571"/>
      <c r="T599" s="571"/>
      <c r="U599" s="571"/>
      <c r="V599" s="571"/>
      <c r="W599" s="571"/>
      <c r="X599" s="571"/>
      <c r="Y599" s="571"/>
      <c r="Z599" s="571"/>
    </row>
    <row r="600" spans="1:26" ht="18.75">
      <c r="A600" s="601"/>
      <c r="B600" s="611"/>
      <c r="C600" s="611"/>
      <c r="D600" s="611"/>
      <c r="E600" s="619"/>
      <c r="F600" s="619"/>
      <c r="G600" s="753"/>
      <c r="H600" s="755" t="s">
        <v>34</v>
      </c>
      <c r="I600" s="269"/>
      <c r="J600" s="214">
        <v>0</v>
      </c>
      <c r="K600" s="163"/>
      <c r="L600" s="163"/>
      <c r="M600" s="163"/>
      <c r="N600" s="163"/>
      <c r="O600" s="163"/>
      <c r="P600" s="163"/>
      <c r="Q600" s="571"/>
      <c r="R600" s="571"/>
      <c r="S600" s="571"/>
      <c r="T600" s="571"/>
      <c r="U600" s="571"/>
      <c r="V600" s="571"/>
      <c r="W600" s="571"/>
      <c r="X600" s="571"/>
      <c r="Y600" s="571"/>
      <c r="Z600" s="571"/>
    </row>
    <row r="601" spans="1:26" ht="18.75">
      <c r="A601" s="601"/>
      <c r="B601" s="611"/>
      <c r="C601" s="611"/>
      <c r="D601" s="737" t="s">
        <v>256</v>
      </c>
      <c r="E601" s="619"/>
      <c r="F601" s="619"/>
      <c r="G601" s="753"/>
      <c r="H601" s="755" t="s">
        <v>46</v>
      </c>
      <c r="I601" s="269"/>
      <c r="J601" s="214">
        <v>0</v>
      </c>
      <c r="K601" s="163"/>
      <c r="L601" s="163"/>
      <c r="M601" s="163"/>
      <c r="N601" s="163"/>
      <c r="O601" s="163"/>
      <c r="P601" s="163"/>
      <c r="Q601" s="571"/>
      <c r="R601" s="571"/>
      <c r="S601" s="571"/>
      <c r="T601" s="571"/>
      <c r="U601" s="571"/>
      <c r="V601" s="571"/>
      <c r="W601" s="571"/>
      <c r="X601" s="571"/>
      <c r="Y601" s="571"/>
      <c r="Z601" s="571"/>
    </row>
    <row r="602" spans="1:26" ht="18.75">
      <c r="A602" s="601"/>
      <c r="B602" s="611"/>
      <c r="C602" s="611"/>
      <c r="D602" s="611"/>
      <c r="E602" s="619"/>
      <c r="F602" s="619"/>
      <c r="G602" s="753"/>
      <c r="H602" s="755" t="s">
        <v>34</v>
      </c>
      <c r="I602" s="269"/>
      <c r="J602" s="214">
        <v>0</v>
      </c>
      <c r="K602" s="163"/>
      <c r="L602" s="163"/>
      <c r="M602" s="163"/>
      <c r="N602" s="163"/>
      <c r="O602" s="163"/>
      <c r="P602" s="163"/>
      <c r="Q602" s="571"/>
      <c r="R602" s="571"/>
      <c r="S602" s="571"/>
      <c r="T602" s="571"/>
      <c r="U602" s="571"/>
      <c r="V602" s="571"/>
      <c r="W602" s="571"/>
      <c r="X602" s="571"/>
      <c r="Y602" s="571"/>
      <c r="Z602" s="571"/>
    </row>
    <row r="603" spans="1:26" ht="18.75">
      <c r="A603" s="601"/>
      <c r="B603" s="611"/>
      <c r="C603" s="696" t="s">
        <v>257</v>
      </c>
      <c r="D603" s="611"/>
      <c r="E603" s="611"/>
      <c r="F603" s="619"/>
      <c r="G603" s="753"/>
      <c r="H603" s="755" t="s">
        <v>46</v>
      </c>
      <c r="I603" s="269"/>
      <c r="J603" s="269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1"/>
      <c r="R603" s="571"/>
      <c r="S603" s="571"/>
      <c r="T603" s="571"/>
      <c r="U603" s="571"/>
      <c r="V603" s="571"/>
      <c r="W603" s="571"/>
      <c r="X603" s="571"/>
      <c r="Y603" s="571"/>
      <c r="Z603" s="571"/>
    </row>
    <row r="604" spans="1:26" ht="18.75">
      <c r="A604" s="601"/>
      <c r="B604" s="611"/>
      <c r="C604" s="611"/>
      <c r="D604" s="611"/>
      <c r="E604" s="619"/>
      <c r="F604" s="619"/>
      <c r="G604" s="753"/>
      <c r="H604" s="755" t="s">
        <v>34</v>
      </c>
      <c r="I604" s="269"/>
      <c r="J604" s="269">
        <f t="shared" si="256"/>
        <v>0</v>
      </c>
      <c r="K604" s="163"/>
      <c r="L604" s="163"/>
      <c r="M604" s="163"/>
      <c r="N604" s="163"/>
      <c r="O604" s="163"/>
      <c r="P604" s="163"/>
      <c r="Q604" s="571"/>
      <c r="R604" s="571"/>
      <c r="S604" s="571"/>
      <c r="T604" s="571"/>
      <c r="U604" s="571"/>
      <c r="V604" s="571"/>
      <c r="W604" s="571"/>
      <c r="X604" s="571"/>
      <c r="Y604" s="571"/>
      <c r="Z604" s="571"/>
    </row>
    <row r="605" spans="1:26" ht="18.75">
      <c r="A605" s="601"/>
      <c r="B605" s="611"/>
      <c r="C605" s="611"/>
      <c r="D605" s="696" t="s">
        <v>258</v>
      </c>
      <c r="E605" s="619"/>
      <c r="F605" s="619"/>
      <c r="G605" s="753"/>
      <c r="H605" s="755" t="s">
        <v>46</v>
      </c>
      <c r="I605" s="269"/>
      <c r="J605" s="214">
        <v>0</v>
      </c>
      <c r="K605" s="163"/>
      <c r="L605" s="163"/>
      <c r="M605" s="163"/>
      <c r="N605" s="163"/>
      <c r="O605" s="163"/>
      <c r="P605" s="163"/>
      <c r="Q605" s="571"/>
      <c r="R605" s="571"/>
      <c r="S605" s="571"/>
      <c r="T605" s="571"/>
      <c r="U605" s="571"/>
      <c r="V605" s="571"/>
      <c r="W605" s="571"/>
      <c r="X605" s="571"/>
      <c r="Y605" s="571"/>
      <c r="Z605" s="571"/>
    </row>
    <row r="606" spans="1:26" ht="18.75">
      <c r="A606" s="601"/>
      <c r="B606" s="611"/>
      <c r="C606" s="611"/>
      <c r="D606" s="611"/>
      <c r="E606" s="611"/>
      <c r="F606" s="619"/>
      <c r="G606" s="753"/>
      <c r="H606" s="755" t="s">
        <v>34</v>
      </c>
      <c r="I606" s="269"/>
      <c r="J606" s="214">
        <v>0</v>
      </c>
      <c r="K606" s="163"/>
      <c r="L606" s="163"/>
      <c r="M606" s="163"/>
      <c r="N606" s="163"/>
      <c r="O606" s="163"/>
      <c r="P606" s="163"/>
      <c r="Q606" s="571"/>
      <c r="R606" s="571"/>
      <c r="S606" s="571"/>
      <c r="T606" s="571"/>
      <c r="U606" s="571"/>
      <c r="V606" s="571"/>
      <c r="W606" s="571"/>
      <c r="X606" s="571"/>
      <c r="Y606" s="571"/>
      <c r="Z606" s="571"/>
    </row>
    <row r="607" spans="1:26" ht="18.75">
      <c r="A607" s="601"/>
      <c r="B607" s="611"/>
      <c r="C607" s="611"/>
      <c r="D607" s="696" t="s">
        <v>259</v>
      </c>
      <c r="E607" s="611"/>
      <c r="F607" s="619"/>
      <c r="G607" s="753"/>
      <c r="H607" s="755" t="s">
        <v>46</v>
      </c>
      <c r="I607" s="269"/>
      <c r="J607" s="214">
        <v>0</v>
      </c>
      <c r="K607" s="163"/>
      <c r="L607" s="163"/>
      <c r="M607" s="163"/>
      <c r="N607" s="163"/>
      <c r="O607" s="163"/>
      <c r="P607" s="163"/>
      <c r="Q607" s="571"/>
      <c r="R607" s="571"/>
      <c r="S607" s="571"/>
      <c r="T607" s="571"/>
      <c r="U607" s="571"/>
      <c r="V607" s="571"/>
      <c r="W607" s="571"/>
      <c r="X607" s="571"/>
      <c r="Y607" s="571"/>
      <c r="Z607" s="571"/>
    </row>
    <row r="608" spans="1:26" ht="18.75">
      <c r="A608" s="601"/>
      <c r="B608" s="611"/>
      <c r="C608" s="611"/>
      <c r="D608" s="611"/>
      <c r="E608" s="619"/>
      <c r="F608" s="619"/>
      <c r="G608" s="753"/>
      <c r="H608" s="755" t="s">
        <v>34</v>
      </c>
      <c r="I608" s="269"/>
      <c r="J608" s="214">
        <v>0</v>
      </c>
      <c r="K608" s="163"/>
      <c r="L608" s="163"/>
      <c r="M608" s="163"/>
      <c r="N608" s="163"/>
      <c r="O608" s="163"/>
      <c r="P608" s="163"/>
      <c r="Q608" s="571"/>
      <c r="R608" s="571"/>
      <c r="S608" s="571"/>
      <c r="T608" s="571"/>
      <c r="U608" s="571"/>
      <c r="V608" s="571"/>
      <c r="W608" s="571"/>
      <c r="X608" s="571"/>
      <c r="Y608" s="571"/>
      <c r="Z608" s="571"/>
    </row>
    <row r="609" spans="1:26" ht="18.75">
      <c r="A609" s="601"/>
      <c r="B609" s="611"/>
      <c r="C609" s="611" t="s">
        <v>260</v>
      </c>
      <c r="D609" s="611"/>
      <c r="E609" s="611"/>
      <c r="F609" s="619"/>
      <c r="G609" s="753"/>
      <c r="H609" s="755" t="s">
        <v>46</v>
      </c>
      <c r="I609" s="269"/>
      <c r="J609" s="214">
        <v>0</v>
      </c>
      <c r="K609" s="163"/>
      <c r="L609" s="163"/>
      <c r="M609" s="163"/>
      <c r="N609" s="163"/>
      <c r="O609" s="163"/>
      <c r="P609" s="163"/>
      <c r="Q609" s="571"/>
      <c r="R609" s="571"/>
      <c r="S609" s="571"/>
      <c r="T609" s="571"/>
      <c r="U609" s="571"/>
      <c r="V609" s="571"/>
      <c r="W609" s="571"/>
      <c r="X609" s="571"/>
      <c r="Y609" s="571"/>
      <c r="Z609" s="571"/>
    </row>
    <row r="610" spans="1:26" ht="18.75">
      <c r="A610" s="601"/>
      <c r="B610" s="611"/>
      <c r="C610" s="611"/>
      <c r="D610" s="611"/>
      <c r="E610" s="619"/>
      <c r="F610" s="619"/>
      <c r="G610" s="753"/>
      <c r="H610" s="755" t="s">
        <v>34</v>
      </c>
      <c r="I610" s="269"/>
      <c r="J610" s="214">
        <v>0</v>
      </c>
      <c r="K610" s="163"/>
      <c r="L610" s="163"/>
      <c r="M610" s="163"/>
      <c r="N610" s="163"/>
      <c r="O610" s="163"/>
      <c r="P610" s="163"/>
      <c r="Q610" s="571"/>
      <c r="R610" s="571"/>
      <c r="S610" s="571"/>
      <c r="T610" s="571"/>
      <c r="U610" s="571"/>
      <c r="V610" s="571"/>
      <c r="W610" s="571"/>
      <c r="X610" s="571"/>
      <c r="Y610" s="571"/>
      <c r="Z610" s="571"/>
    </row>
    <row r="611" spans="1:26" ht="19.5" hidden="1">
      <c r="A611" s="685"/>
      <c r="B611" s="697" t="s">
        <v>261</v>
      </c>
      <c r="C611" s="687"/>
      <c r="D611" s="687"/>
      <c r="E611" s="666"/>
      <c r="F611" s="666"/>
      <c r="G611" s="667"/>
      <c r="H611" s="698" t="s">
        <v>46</v>
      </c>
      <c r="I611" s="699">
        <v>0</v>
      </c>
      <c r="J611" s="699">
        <f>J614+J616</f>
        <v>0</v>
      </c>
      <c r="K611" s="670">
        <f t="shared" ref="K611:K613" si="257">IF(I611&gt;0,J611*100/I611,0)</f>
        <v>0</v>
      </c>
      <c r="L611" s="671"/>
      <c r="M611" s="671"/>
      <c r="N611" s="671"/>
      <c r="O611" s="671"/>
      <c r="P611" s="671"/>
      <c r="Q611" s="571"/>
      <c r="R611" s="571"/>
      <c r="S611" s="571"/>
      <c r="T611" s="571"/>
      <c r="U611" s="571"/>
      <c r="V611" s="571"/>
      <c r="W611" s="571"/>
      <c r="X611" s="571"/>
      <c r="Y611" s="571"/>
      <c r="Z611" s="571"/>
    </row>
    <row r="612" spans="1:26" ht="19.5" hidden="1">
      <c r="A612" s="700"/>
      <c r="B612" s="710"/>
      <c r="C612" s="702" t="s">
        <v>262</v>
      </c>
      <c r="D612" s="710"/>
      <c r="E612" s="710"/>
      <c r="F612" s="703"/>
      <c r="G612" s="704"/>
      <c r="H612" s="705" t="s">
        <v>46</v>
      </c>
      <c r="I612" s="707">
        <v>0</v>
      </c>
      <c r="J612" s="707">
        <f t="shared" ref="J612:J613" si="258">J614+J616</f>
        <v>0</v>
      </c>
      <c r="K612" s="708">
        <f t="shared" si="257"/>
        <v>0</v>
      </c>
      <c r="L612" s="709"/>
      <c r="M612" s="709"/>
      <c r="N612" s="709"/>
      <c r="O612" s="709"/>
      <c r="P612" s="709"/>
      <c r="Q612" s="597"/>
      <c r="R612" s="597"/>
      <c r="S612" s="597"/>
      <c r="T612" s="597"/>
      <c r="U612" s="597"/>
      <c r="V612" s="597"/>
      <c r="W612" s="597"/>
      <c r="X612" s="597"/>
      <c r="Y612" s="597"/>
      <c r="Z612" s="597"/>
    </row>
    <row r="613" spans="1:26" ht="19.5" hidden="1">
      <c r="A613" s="700"/>
      <c r="B613" s="710"/>
      <c r="C613" s="710" t="s">
        <v>263</v>
      </c>
      <c r="D613" s="710"/>
      <c r="E613" s="710"/>
      <c r="F613" s="703"/>
      <c r="G613" s="704"/>
      <c r="H613" s="705" t="s">
        <v>34</v>
      </c>
      <c r="I613" s="707">
        <v>0</v>
      </c>
      <c r="J613" s="707">
        <f t="shared" si="258"/>
        <v>0</v>
      </c>
      <c r="K613" s="708">
        <f t="shared" si="257"/>
        <v>0</v>
      </c>
      <c r="L613" s="709"/>
      <c r="M613" s="709"/>
      <c r="N613" s="709"/>
      <c r="O613" s="709"/>
      <c r="P613" s="709"/>
      <c r="Q613" s="597"/>
      <c r="R613" s="597"/>
      <c r="S613" s="597"/>
      <c r="T613" s="597"/>
      <c r="U613" s="597"/>
      <c r="V613" s="597"/>
      <c r="W613" s="597"/>
      <c r="X613" s="597"/>
      <c r="Y613" s="597"/>
      <c r="Z613" s="597"/>
    </row>
    <row r="614" spans="1:26" ht="18.75" hidden="1">
      <c r="A614" s="607"/>
      <c r="B614" s="609"/>
      <c r="C614" s="609"/>
      <c r="D614" s="711" t="s">
        <v>264</v>
      </c>
      <c r="E614" s="609"/>
      <c r="F614" s="711"/>
      <c r="G614" s="365"/>
      <c r="H614" s="369" t="s">
        <v>46</v>
      </c>
      <c r="I614" s="610"/>
      <c r="J614" s="610">
        <v>0</v>
      </c>
      <c r="K614" s="167"/>
      <c r="L614" s="167"/>
      <c r="M614" s="167"/>
      <c r="N614" s="167"/>
      <c r="O614" s="167"/>
      <c r="P614" s="167"/>
      <c r="Q614" s="597"/>
      <c r="R614" s="597"/>
      <c r="S614" s="597"/>
      <c r="T614" s="597"/>
      <c r="U614" s="597"/>
      <c r="V614" s="597"/>
      <c r="W614" s="597"/>
      <c r="X614" s="597"/>
      <c r="Y614" s="597"/>
      <c r="Z614" s="597"/>
    </row>
    <row r="615" spans="1:26" ht="18.75" hidden="1">
      <c r="A615" s="607"/>
      <c r="B615" s="609"/>
      <c r="C615" s="609"/>
      <c r="D615" s="609"/>
      <c r="E615" s="609"/>
      <c r="F615" s="711"/>
      <c r="G615" s="365"/>
      <c r="H615" s="369" t="s">
        <v>34</v>
      </c>
      <c r="I615" s="610"/>
      <c r="J615" s="610">
        <v>0</v>
      </c>
      <c r="K615" s="167"/>
      <c r="L615" s="167"/>
      <c r="M615" s="167"/>
      <c r="N615" s="167"/>
      <c r="O615" s="167"/>
      <c r="P615" s="167"/>
      <c r="Q615" s="597"/>
      <c r="R615" s="597"/>
      <c r="S615" s="597"/>
      <c r="T615" s="597"/>
      <c r="U615" s="597"/>
      <c r="V615" s="597"/>
      <c r="W615" s="597"/>
      <c r="X615" s="597"/>
      <c r="Y615" s="597"/>
      <c r="Z615" s="597"/>
    </row>
    <row r="616" spans="1:26" ht="18.75" hidden="1">
      <c r="A616" s="607"/>
      <c r="B616" s="609"/>
      <c r="C616" s="609"/>
      <c r="D616" s="712" t="s">
        <v>264</v>
      </c>
      <c r="E616" s="711"/>
      <c r="F616" s="711"/>
      <c r="G616" s="365"/>
      <c r="H616" s="369" t="s">
        <v>46</v>
      </c>
      <c r="I616" s="610"/>
      <c r="J616" s="610">
        <v>0</v>
      </c>
      <c r="K616" s="167"/>
      <c r="L616" s="167"/>
      <c r="M616" s="167"/>
      <c r="N616" s="167"/>
      <c r="O616" s="167"/>
      <c r="P616" s="167"/>
      <c r="Q616" s="597"/>
      <c r="R616" s="597"/>
      <c r="S616" s="597"/>
      <c r="T616" s="597"/>
      <c r="U616" s="597"/>
      <c r="V616" s="597"/>
      <c r="W616" s="597"/>
      <c r="X616" s="597"/>
      <c r="Y616" s="597"/>
      <c r="Z616" s="597"/>
    </row>
    <row r="617" spans="1:26" ht="18.75" hidden="1">
      <c r="A617" s="607"/>
      <c r="B617" s="609"/>
      <c r="C617" s="609"/>
      <c r="D617" s="609"/>
      <c r="E617" s="711"/>
      <c r="F617" s="711"/>
      <c r="G617" s="365"/>
      <c r="H617" s="369" t="s">
        <v>34</v>
      </c>
      <c r="I617" s="610"/>
      <c r="J617" s="610">
        <v>0</v>
      </c>
      <c r="K617" s="167"/>
      <c r="L617" s="167"/>
      <c r="M617" s="167"/>
      <c r="N617" s="167"/>
      <c r="O617" s="167"/>
      <c r="P617" s="167"/>
      <c r="Q617" s="597"/>
      <c r="R617" s="597"/>
      <c r="S617" s="597"/>
      <c r="T617" s="597"/>
      <c r="U617" s="597"/>
      <c r="V617" s="597"/>
      <c r="W617" s="597"/>
      <c r="X617" s="597"/>
      <c r="Y617" s="597"/>
      <c r="Z617" s="597"/>
    </row>
    <row r="618" spans="1:26" ht="18.75" hidden="1">
      <c r="A618" s="607"/>
      <c r="B618" s="609"/>
      <c r="C618" s="609"/>
      <c r="D618" s="712" t="s">
        <v>265</v>
      </c>
      <c r="E618" s="711"/>
      <c r="F618" s="711"/>
      <c r="G618" s="365"/>
      <c r="H618" s="369" t="s">
        <v>46</v>
      </c>
      <c r="I618" s="610"/>
      <c r="J618" s="610">
        <v>0</v>
      </c>
      <c r="K618" s="167"/>
      <c r="L618" s="167"/>
      <c r="M618" s="167"/>
      <c r="N618" s="167"/>
      <c r="O618" s="167"/>
      <c r="P618" s="167"/>
      <c r="Q618" s="597"/>
      <c r="R618" s="597"/>
      <c r="S618" s="597"/>
      <c r="T618" s="597"/>
      <c r="U618" s="597"/>
      <c r="V618" s="597"/>
      <c r="W618" s="597"/>
      <c r="X618" s="597"/>
      <c r="Y618" s="597"/>
      <c r="Z618" s="597"/>
    </row>
    <row r="619" spans="1:26" ht="18.75" hidden="1">
      <c r="A619" s="607"/>
      <c r="B619" s="609"/>
      <c r="C619" s="609"/>
      <c r="D619" s="609"/>
      <c r="E619" s="711"/>
      <c r="F619" s="711"/>
      <c r="G619" s="365"/>
      <c r="H619" s="369" t="s">
        <v>34</v>
      </c>
      <c r="I619" s="610"/>
      <c r="J619" s="610">
        <v>0</v>
      </c>
      <c r="K619" s="167"/>
      <c r="L619" s="167"/>
      <c r="M619" s="167"/>
      <c r="N619" s="167"/>
      <c r="O619" s="167"/>
      <c r="P619" s="167"/>
      <c r="Q619" s="597"/>
      <c r="R619" s="597"/>
      <c r="S619" s="597"/>
      <c r="T619" s="597"/>
      <c r="U619" s="597"/>
      <c r="V619" s="597"/>
      <c r="W619" s="597"/>
      <c r="X619" s="597"/>
      <c r="Y619" s="597"/>
      <c r="Z619" s="597"/>
    </row>
    <row r="620" spans="1:26" ht="19.5" hidden="1">
      <c r="A620" s="713"/>
      <c r="B620" s="722"/>
      <c r="C620" s="715" t="s">
        <v>266</v>
      </c>
      <c r="D620" s="722"/>
      <c r="E620" s="722"/>
      <c r="F620" s="716"/>
      <c r="G620" s="717"/>
      <c r="H620" s="718" t="s">
        <v>46</v>
      </c>
      <c r="I620" s="719">
        <f ca="1">IFERROR(__xludf.DUMMYFUNCTION("IMPORTRANGE(""https://docs.google.com/spreadsheets/d/1QqKyyYR6Q21VydFLVH3TRQUabQu_ym0Zz7PgGX0-kHA/edit?usp=sharing"",""แผน!HL39"")"),0)</f>
        <v>0</v>
      </c>
      <c r="J620" s="719">
        <f t="shared" ref="J620:J621" si="259">J622+J624+J626</f>
        <v>0</v>
      </c>
      <c r="K620" s="720">
        <f t="shared" ref="K620:K621" ca="1" si="260">IF(I620&gt;0,J620*100/I620,0)</f>
        <v>0</v>
      </c>
      <c r="L620" s="721"/>
      <c r="M620" s="721"/>
      <c r="N620" s="721"/>
      <c r="O620" s="721"/>
      <c r="P620" s="721"/>
      <c r="Q620" s="571"/>
      <c r="R620" s="571"/>
      <c r="S620" s="571"/>
      <c r="T620" s="571"/>
      <c r="U620" s="571"/>
      <c r="V620" s="571"/>
      <c r="W620" s="571"/>
      <c r="X620" s="571"/>
      <c r="Y620" s="571"/>
      <c r="Z620" s="571"/>
    </row>
    <row r="621" spans="1:26" ht="19.5" hidden="1">
      <c r="A621" s="713"/>
      <c r="B621" s="722"/>
      <c r="C621" s="722" t="s">
        <v>267</v>
      </c>
      <c r="D621" s="722"/>
      <c r="E621" s="722"/>
      <c r="F621" s="716"/>
      <c r="G621" s="717"/>
      <c r="H621" s="718" t="s">
        <v>34</v>
      </c>
      <c r="I621" s="719">
        <f ca="1">IFERROR(__xludf.DUMMYFUNCTION("IMPORTRANGE(""https://docs.google.com/spreadsheets/d/1QqKyyYR6Q21VydFLVH3TRQUabQu_ym0Zz7PgGX0-kHA/edit?usp=sharing"",""แผน!HK39"")"),0)</f>
        <v>0</v>
      </c>
      <c r="J621" s="719">
        <f t="shared" si="259"/>
        <v>0</v>
      </c>
      <c r="K621" s="720">
        <f t="shared" ca="1" si="260"/>
        <v>0</v>
      </c>
      <c r="L621" s="721"/>
      <c r="M621" s="721"/>
      <c r="N621" s="721"/>
      <c r="O621" s="721"/>
      <c r="P621" s="721"/>
      <c r="Q621" s="571"/>
      <c r="R621" s="571"/>
      <c r="S621" s="571"/>
      <c r="T621" s="571"/>
      <c r="U621" s="571"/>
      <c r="V621" s="571"/>
      <c r="W621" s="571"/>
      <c r="X621" s="571"/>
      <c r="Y621" s="571"/>
      <c r="Z621" s="571"/>
    </row>
    <row r="622" spans="1:26" ht="18.75" hidden="1">
      <c r="A622" s="601"/>
      <c r="B622" s="611"/>
      <c r="C622" s="611"/>
      <c r="D622" s="737" t="s">
        <v>268</v>
      </c>
      <c r="E622" s="619"/>
      <c r="F622" s="619"/>
      <c r="G622" s="753"/>
      <c r="H622" s="755" t="s">
        <v>46</v>
      </c>
      <c r="I622" s="269"/>
      <c r="J622" s="214">
        <v>0</v>
      </c>
      <c r="K622" s="163"/>
      <c r="L622" s="163"/>
      <c r="M622" s="163"/>
      <c r="N622" s="163"/>
      <c r="O622" s="163"/>
      <c r="P622" s="163"/>
      <c r="Q622" s="571"/>
      <c r="R622" s="571"/>
      <c r="S622" s="571"/>
      <c r="T622" s="571"/>
      <c r="U622" s="571"/>
      <c r="V622" s="571"/>
      <c r="W622" s="571"/>
      <c r="X622" s="571"/>
      <c r="Y622" s="571"/>
      <c r="Z622" s="571"/>
    </row>
    <row r="623" spans="1:26" ht="18.75" hidden="1">
      <c r="A623" s="601"/>
      <c r="B623" s="611"/>
      <c r="C623" s="611"/>
      <c r="D623" s="611"/>
      <c r="E623" s="619"/>
      <c r="F623" s="619"/>
      <c r="G623" s="753"/>
      <c r="H623" s="755" t="s">
        <v>34</v>
      </c>
      <c r="I623" s="269"/>
      <c r="J623" s="214">
        <v>0</v>
      </c>
      <c r="K623" s="163"/>
      <c r="L623" s="163"/>
      <c r="M623" s="163"/>
      <c r="N623" s="163"/>
      <c r="O623" s="163"/>
      <c r="P623" s="163"/>
      <c r="Q623" s="571"/>
      <c r="R623" s="571"/>
      <c r="S623" s="571"/>
      <c r="T623" s="571"/>
      <c r="U623" s="571"/>
      <c r="V623" s="571"/>
      <c r="W623" s="571"/>
      <c r="X623" s="571"/>
      <c r="Y623" s="571"/>
      <c r="Z623" s="571"/>
    </row>
    <row r="624" spans="1:26" ht="18.75" hidden="1">
      <c r="A624" s="601"/>
      <c r="B624" s="611"/>
      <c r="C624" s="611"/>
      <c r="D624" s="737" t="s">
        <v>264</v>
      </c>
      <c r="E624" s="619"/>
      <c r="F624" s="619"/>
      <c r="G624" s="753"/>
      <c r="H624" s="755" t="s">
        <v>46</v>
      </c>
      <c r="I624" s="269"/>
      <c r="J624" s="214">
        <v>0</v>
      </c>
      <c r="K624" s="163"/>
      <c r="L624" s="163"/>
      <c r="M624" s="163"/>
      <c r="N624" s="163"/>
      <c r="O624" s="163"/>
      <c r="P624" s="163"/>
      <c r="Q624" s="571"/>
      <c r="R624" s="571"/>
      <c r="S624" s="571"/>
      <c r="T624" s="571"/>
      <c r="U624" s="571"/>
      <c r="V624" s="571"/>
      <c r="W624" s="571"/>
      <c r="X624" s="571"/>
      <c r="Y624" s="571"/>
      <c r="Z624" s="571"/>
    </row>
    <row r="625" spans="1:26" ht="18.75" hidden="1">
      <c r="A625" s="601"/>
      <c r="B625" s="611"/>
      <c r="C625" s="611"/>
      <c r="D625" s="611"/>
      <c r="E625" s="619"/>
      <c r="F625" s="619"/>
      <c r="G625" s="753"/>
      <c r="H625" s="755" t="s">
        <v>34</v>
      </c>
      <c r="I625" s="269"/>
      <c r="J625" s="214">
        <v>0</v>
      </c>
      <c r="K625" s="163"/>
      <c r="L625" s="163"/>
      <c r="M625" s="163"/>
      <c r="N625" s="163"/>
      <c r="O625" s="163"/>
      <c r="P625" s="163"/>
      <c r="Q625" s="571"/>
      <c r="R625" s="571"/>
      <c r="S625" s="571"/>
      <c r="T625" s="571"/>
      <c r="U625" s="571"/>
      <c r="V625" s="571"/>
      <c r="W625" s="571"/>
      <c r="X625" s="571"/>
      <c r="Y625" s="571"/>
      <c r="Z625" s="571"/>
    </row>
    <row r="626" spans="1:26" ht="18.75" hidden="1">
      <c r="A626" s="601"/>
      <c r="B626" s="611"/>
      <c r="C626" s="611"/>
      <c r="D626" s="737" t="s">
        <v>269</v>
      </c>
      <c r="E626" s="619"/>
      <c r="F626" s="619"/>
      <c r="G626" s="753"/>
      <c r="H626" s="755" t="s">
        <v>46</v>
      </c>
      <c r="I626" s="269"/>
      <c r="J626" s="214">
        <v>0</v>
      </c>
      <c r="K626" s="163"/>
      <c r="L626" s="163"/>
      <c r="M626" s="163"/>
      <c r="N626" s="163"/>
      <c r="O626" s="163"/>
      <c r="P626" s="163"/>
      <c r="Q626" s="571"/>
      <c r="R626" s="571"/>
      <c r="S626" s="571"/>
      <c r="T626" s="571"/>
      <c r="U626" s="571"/>
      <c r="V626" s="571"/>
      <c r="W626" s="571"/>
      <c r="X626" s="571"/>
      <c r="Y626" s="571"/>
      <c r="Z626" s="571"/>
    </row>
    <row r="627" spans="1:26" ht="18.75" hidden="1">
      <c r="A627" s="723"/>
      <c r="B627" s="724"/>
      <c r="C627" s="724"/>
      <c r="D627" s="724"/>
      <c r="E627" s="725"/>
      <c r="F627" s="725"/>
      <c r="G627" s="726"/>
      <c r="H627" s="421" t="s">
        <v>34</v>
      </c>
      <c r="I627" s="499"/>
      <c r="J627" s="423">
        <v>0</v>
      </c>
      <c r="K627" s="384"/>
      <c r="L627" s="384"/>
      <c r="M627" s="384"/>
      <c r="N627" s="384"/>
      <c r="O627" s="384"/>
      <c r="P627" s="384"/>
      <c r="Q627" s="571"/>
      <c r="R627" s="571"/>
      <c r="S627" s="571"/>
      <c r="T627" s="571"/>
      <c r="U627" s="571"/>
      <c r="V627" s="571"/>
      <c r="W627" s="571"/>
      <c r="X627" s="571"/>
      <c r="Y627" s="571"/>
      <c r="Z627" s="571"/>
    </row>
    <row r="628" spans="1:26" ht="19.5">
      <c r="A628" s="727">
        <v>7</v>
      </c>
      <c r="B628" s="728" t="s">
        <v>270</v>
      </c>
      <c r="C628" s="729"/>
      <c r="D628" s="729"/>
      <c r="E628" s="729"/>
      <c r="F628" s="729"/>
      <c r="G628" s="730"/>
      <c r="H628" s="731" t="s">
        <v>35</v>
      </c>
      <c r="I628" s="732">
        <f t="shared" ref="I628:J628" ca="1" si="261">I651</f>
        <v>13</v>
      </c>
      <c r="J628" s="732">
        <f t="shared" ca="1" si="261"/>
        <v>0</v>
      </c>
      <c r="K628" s="733">
        <f ca="1">IF(I628&gt;0,J628*100/I628,0)</f>
        <v>0</v>
      </c>
      <c r="L628" s="734"/>
      <c r="M628" s="734"/>
      <c r="N628" s="734"/>
      <c r="O628" s="734"/>
      <c r="P628" s="734"/>
      <c r="Q628" s="571"/>
      <c r="R628" s="571"/>
      <c r="S628" s="571"/>
      <c r="T628" s="571"/>
      <c r="U628" s="571"/>
      <c r="V628" s="571"/>
      <c r="W628" s="571"/>
      <c r="X628" s="571"/>
      <c r="Y628" s="571"/>
      <c r="Z628" s="571"/>
    </row>
    <row r="629" spans="1:26" ht="19.5">
      <c r="A629" s="590"/>
      <c r="B629" s="754"/>
      <c r="C629" s="754" t="s">
        <v>16</v>
      </c>
      <c r="D629" s="838" t="s">
        <v>17</v>
      </c>
      <c r="E629" s="832"/>
      <c r="F629" s="832"/>
      <c r="G629" s="189"/>
      <c r="H629" s="591" t="s">
        <v>12</v>
      </c>
      <c r="I629" s="269"/>
      <c r="J629" s="269"/>
      <c r="K629" s="496"/>
      <c r="L629" s="195">
        <f t="shared" ref="L629:N629" ca="1" si="262">L630+L631</f>
        <v>177295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1"/>
      <c r="R629" s="571"/>
      <c r="S629" s="571"/>
      <c r="T629" s="571"/>
      <c r="U629" s="571"/>
      <c r="V629" s="571"/>
      <c r="W629" s="571"/>
      <c r="X629" s="571"/>
      <c r="Y629" s="571"/>
      <c r="Z629" s="571"/>
    </row>
    <row r="630" spans="1:26" ht="18.75" hidden="1">
      <c r="A630" s="592"/>
      <c r="B630" s="750"/>
      <c r="C630" s="750"/>
      <c r="D630" s="711"/>
      <c r="E630" s="750" t="s">
        <v>184</v>
      </c>
      <c r="F630" s="750"/>
      <c r="G630" s="596"/>
      <c r="H630" s="165" t="s">
        <v>12</v>
      </c>
      <c r="I630" s="610"/>
      <c r="J630" s="610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7"/>
      <c r="R630" s="597"/>
      <c r="S630" s="597"/>
      <c r="T630" s="597"/>
      <c r="U630" s="597"/>
      <c r="V630" s="597"/>
      <c r="W630" s="597"/>
      <c r="X630" s="597"/>
      <c r="Y630" s="597"/>
      <c r="Z630" s="597"/>
    </row>
    <row r="631" spans="1:26" ht="18.75" hidden="1">
      <c r="A631" s="592"/>
      <c r="B631" s="600"/>
      <c r="C631" s="750"/>
      <c r="D631" s="711"/>
      <c r="E631" s="750" t="s">
        <v>185</v>
      </c>
      <c r="F631" s="750"/>
      <c r="G631" s="596"/>
      <c r="H631" s="165" t="s">
        <v>12</v>
      </c>
      <c r="I631" s="610"/>
      <c r="J631" s="610"/>
      <c r="K631" s="93"/>
      <c r="L631" s="93">
        <f t="shared" ca="1" si="265"/>
        <v>177295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7"/>
      <c r="R631" s="597"/>
      <c r="S631" s="597"/>
      <c r="T631" s="597"/>
      <c r="U631" s="597"/>
      <c r="V631" s="597"/>
      <c r="W631" s="597"/>
      <c r="X631" s="597"/>
      <c r="Y631" s="597"/>
      <c r="Z631" s="597"/>
    </row>
    <row r="632" spans="1:26" ht="18.75">
      <c r="A632" s="590"/>
      <c r="B632" s="568"/>
      <c r="C632" s="754"/>
      <c r="D632" s="599" t="s">
        <v>20</v>
      </c>
      <c r="E632" s="754"/>
      <c r="F632" s="754"/>
      <c r="G632" s="189"/>
      <c r="H632" s="161" t="s">
        <v>12</v>
      </c>
      <c r="I632" s="184"/>
      <c r="J632" s="184"/>
      <c r="K632" s="163"/>
      <c r="L632" s="496">
        <f t="shared" ref="L632:N632" ca="1" si="266">L633+L634</f>
        <v>177295</v>
      </c>
      <c r="M632" s="496">
        <f t="shared" si="266"/>
        <v>0</v>
      </c>
      <c r="N632" s="496">
        <f t="shared" si="266"/>
        <v>0</v>
      </c>
      <c r="O632" s="496">
        <f t="shared" ca="1" si="263"/>
        <v>0</v>
      </c>
      <c r="P632" s="496">
        <f t="shared" si="264"/>
        <v>0</v>
      </c>
      <c r="Q632" s="571"/>
      <c r="R632" s="571"/>
      <c r="S632" s="571"/>
      <c r="T632" s="571"/>
      <c r="U632" s="571"/>
      <c r="V632" s="571"/>
      <c r="W632" s="571"/>
      <c r="X632" s="571"/>
      <c r="Y632" s="571"/>
      <c r="Z632" s="571"/>
    </row>
    <row r="633" spans="1:26" ht="18.75" hidden="1">
      <c r="A633" s="592"/>
      <c r="B633" s="600"/>
      <c r="C633" s="750"/>
      <c r="D633" s="711"/>
      <c r="E633" s="750" t="s">
        <v>184</v>
      </c>
      <c r="F633" s="750"/>
      <c r="G633" s="596"/>
      <c r="H633" s="165" t="s">
        <v>12</v>
      </c>
      <c r="I633" s="610"/>
      <c r="J633" s="610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7"/>
      <c r="R633" s="597"/>
      <c r="S633" s="597"/>
      <c r="T633" s="597"/>
      <c r="U633" s="597"/>
      <c r="V633" s="597"/>
      <c r="W633" s="597"/>
      <c r="X633" s="597"/>
      <c r="Y633" s="597"/>
      <c r="Z633" s="597"/>
    </row>
    <row r="634" spans="1:26" ht="18.75" hidden="1">
      <c r="A634" s="592"/>
      <c r="B634" s="600"/>
      <c r="C634" s="750"/>
      <c r="D634" s="711"/>
      <c r="E634" s="750" t="s">
        <v>185</v>
      </c>
      <c r="F634" s="750"/>
      <c r="G634" s="596"/>
      <c r="H634" s="165" t="s">
        <v>12</v>
      </c>
      <c r="I634" s="610"/>
      <c r="J634" s="610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7"/>
      <c r="R634" s="597"/>
      <c r="S634" s="597"/>
      <c r="T634" s="597"/>
      <c r="U634" s="597"/>
      <c r="V634" s="597"/>
      <c r="W634" s="597"/>
      <c r="X634" s="597"/>
      <c r="Y634" s="597"/>
      <c r="Z634" s="597"/>
    </row>
    <row r="635" spans="1:26" ht="18.75">
      <c r="A635" s="567"/>
      <c r="B635" s="568"/>
      <c r="C635" s="754"/>
      <c r="D635" s="754"/>
      <c r="E635" s="754"/>
      <c r="F635" s="754" t="s">
        <v>186</v>
      </c>
      <c r="G635" s="189"/>
      <c r="H635" s="161" t="s">
        <v>12</v>
      </c>
      <c r="I635" s="269"/>
      <c r="J635" s="269"/>
      <c r="K635" s="496"/>
      <c r="L635" s="496"/>
      <c r="M635" s="496"/>
      <c r="N635" s="816">
        <v>0</v>
      </c>
      <c r="O635" s="496"/>
      <c r="P635" s="496"/>
      <c r="Q635" s="571"/>
      <c r="R635" s="571"/>
      <c r="S635" s="571"/>
      <c r="T635" s="571"/>
      <c r="U635" s="571"/>
      <c r="V635" s="571"/>
      <c r="W635" s="571"/>
      <c r="X635" s="571"/>
      <c r="Y635" s="571"/>
      <c r="Z635" s="571"/>
    </row>
    <row r="636" spans="1:26" ht="18.75">
      <c r="A636" s="567"/>
      <c r="B636" s="568"/>
      <c r="C636" s="754"/>
      <c r="D636" s="754"/>
      <c r="E636" s="754"/>
      <c r="F636" s="754" t="s">
        <v>187</v>
      </c>
      <c r="G636" s="189"/>
      <c r="H636" s="161" t="s">
        <v>12</v>
      </c>
      <c r="I636" s="269"/>
      <c r="J636" s="269"/>
      <c r="K636" s="496"/>
      <c r="L636" s="496"/>
      <c r="M636" s="496"/>
      <c r="N636" s="816">
        <v>0</v>
      </c>
      <c r="O636" s="496"/>
      <c r="P636" s="496"/>
      <c r="Q636" s="571"/>
      <c r="R636" s="571"/>
      <c r="S636" s="571"/>
      <c r="T636" s="571"/>
      <c r="U636" s="571"/>
      <c r="V636" s="571"/>
      <c r="W636" s="571"/>
      <c r="X636" s="571"/>
      <c r="Y636" s="571"/>
      <c r="Z636" s="571"/>
    </row>
    <row r="637" spans="1:26" ht="18.75">
      <c r="A637" s="567"/>
      <c r="B637" s="568"/>
      <c r="C637" s="754"/>
      <c r="D637" s="754"/>
      <c r="E637" s="754"/>
      <c r="F637" s="754" t="s">
        <v>188</v>
      </c>
      <c r="G637" s="189"/>
      <c r="H637" s="161" t="s">
        <v>12</v>
      </c>
      <c r="I637" s="269"/>
      <c r="J637" s="269"/>
      <c r="K637" s="496"/>
      <c r="L637" s="496"/>
      <c r="M637" s="496"/>
      <c r="N637" s="816">
        <v>0</v>
      </c>
      <c r="O637" s="496"/>
      <c r="P637" s="496"/>
      <c r="Q637" s="571"/>
      <c r="R637" s="571"/>
      <c r="S637" s="571"/>
      <c r="T637" s="571"/>
      <c r="U637" s="571"/>
      <c r="V637" s="571"/>
      <c r="W637" s="571"/>
      <c r="X637" s="571"/>
      <c r="Y637" s="571"/>
      <c r="Z637" s="571"/>
    </row>
    <row r="638" spans="1:26" ht="18.75">
      <c r="A638" s="567"/>
      <c r="B638" s="568"/>
      <c r="C638" s="754"/>
      <c r="D638" s="754"/>
      <c r="E638" s="754"/>
      <c r="F638" s="754" t="s">
        <v>189</v>
      </c>
      <c r="G638" s="189"/>
      <c r="H638" s="161" t="s">
        <v>12</v>
      </c>
      <c r="I638" s="269"/>
      <c r="J638" s="269"/>
      <c r="K638" s="496"/>
      <c r="L638" s="496"/>
      <c r="M638" s="496"/>
      <c r="N638" s="816">
        <v>0</v>
      </c>
      <c r="O638" s="496"/>
      <c r="P638" s="496"/>
      <c r="Q638" s="571"/>
      <c r="R638" s="571"/>
      <c r="S638" s="571"/>
      <c r="T638" s="571"/>
      <c r="U638" s="571"/>
      <c r="V638" s="571"/>
      <c r="W638" s="571"/>
      <c r="X638" s="571"/>
      <c r="Y638" s="571"/>
      <c r="Z638" s="571"/>
    </row>
    <row r="639" spans="1:26" ht="18.75">
      <c r="A639" s="590"/>
      <c r="B639" s="568"/>
      <c r="C639" s="754"/>
      <c r="D639" s="599" t="s">
        <v>21</v>
      </c>
      <c r="E639" s="754"/>
      <c r="F639" s="754"/>
      <c r="G639" s="189"/>
      <c r="H639" s="168" t="s">
        <v>12</v>
      </c>
      <c r="I639" s="184"/>
      <c r="J639" s="184"/>
      <c r="K639" s="163"/>
      <c r="L639" s="496">
        <f t="shared" ref="L639:N639" ca="1" si="267">L640+L641</f>
        <v>0</v>
      </c>
      <c r="M639" s="496">
        <f t="shared" si="267"/>
        <v>0</v>
      </c>
      <c r="N639" s="496">
        <f t="shared" si="267"/>
        <v>0</v>
      </c>
      <c r="O639" s="496">
        <f t="shared" ref="O639:O641" ca="1" si="268">IF(L639&gt;0,N639*100/L639,0)</f>
        <v>0</v>
      </c>
      <c r="P639" s="496">
        <f t="shared" ref="P639:P641" si="269">IF(M639&gt;0,N639*100/M639,0)</f>
        <v>0</v>
      </c>
      <c r="Q639" s="571"/>
      <c r="R639" s="571"/>
      <c r="S639" s="571"/>
      <c r="T639" s="571"/>
      <c r="U639" s="571"/>
      <c r="V639" s="571"/>
      <c r="W639" s="571"/>
      <c r="X639" s="571"/>
      <c r="Y639" s="571"/>
      <c r="Z639" s="571"/>
    </row>
    <row r="640" spans="1:26" ht="18.75" hidden="1">
      <c r="A640" s="592"/>
      <c r="B640" s="600"/>
      <c r="C640" s="750"/>
      <c r="D640" s="750"/>
      <c r="E640" s="750" t="s">
        <v>18</v>
      </c>
      <c r="F640" s="750"/>
      <c r="G640" s="596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7"/>
      <c r="R640" s="597"/>
      <c r="S640" s="597"/>
      <c r="T640" s="597"/>
      <c r="U640" s="597"/>
      <c r="V640" s="597"/>
      <c r="W640" s="597"/>
      <c r="X640" s="597"/>
      <c r="Y640" s="597"/>
      <c r="Z640" s="597"/>
    </row>
    <row r="641" spans="1:26" ht="18.75" hidden="1">
      <c r="A641" s="592"/>
      <c r="B641" s="600"/>
      <c r="C641" s="750"/>
      <c r="D641" s="750"/>
      <c r="E641" s="750" t="s">
        <v>19</v>
      </c>
      <c r="F641" s="750"/>
      <c r="G641" s="596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7"/>
      <c r="R641" s="597"/>
      <c r="S641" s="597"/>
      <c r="T641" s="597"/>
      <c r="U641" s="597"/>
      <c r="V641" s="597"/>
      <c r="W641" s="597"/>
      <c r="X641" s="597"/>
      <c r="Y641" s="597"/>
      <c r="Z641" s="597"/>
    </row>
    <row r="642" spans="1:26" ht="19.5">
      <c r="A642" s="601"/>
      <c r="B642" s="611"/>
      <c r="C642" s="754" t="s">
        <v>16</v>
      </c>
      <c r="D642" s="863" t="s">
        <v>38</v>
      </c>
      <c r="E642" s="752"/>
      <c r="F642" s="752"/>
      <c r="G642" s="606"/>
      <c r="H642" s="753"/>
      <c r="I642" s="184"/>
      <c r="J642" s="184"/>
      <c r="K642" s="163"/>
      <c r="L642" s="163"/>
      <c r="M642" s="163"/>
      <c r="N642" s="163"/>
      <c r="O642" s="163"/>
      <c r="P642" s="163"/>
      <c r="Q642" s="571"/>
      <c r="R642" s="571"/>
      <c r="S642" s="571"/>
      <c r="T642" s="571"/>
      <c r="U642" s="571"/>
      <c r="V642" s="571"/>
      <c r="W642" s="571"/>
      <c r="X642" s="571"/>
      <c r="Y642" s="571"/>
      <c r="Z642" s="571"/>
    </row>
    <row r="643" spans="1:26" ht="18.75">
      <c r="A643" s="735"/>
      <c r="B643" s="568"/>
      <c r="C643" s="754"/>
      <c r="D643" s="619"/>
      <c r="E643" s="737" t="s">
        <v>271</v>
      </c>
      <c r="F643" s="619"/>
      <c r="G643" s="753"/>
      <c r="H643" s="755" t="s">
        <v>272</v>
      </c>
      <c r="I643" s="269">
        <f ca="1">IFERROR(__xludf.DUMMYFUNCTION("IMPORTRANGE(""https://docs.google.com/spreadsheets/d/1QqKyyYR6Q21VydFLVH3TRQUabQu_ym0Zz7PgGX0-kHA/edit?usp=sharing"",""แผน!HR39"")"),0)</f>
        <v>0</v>
      </c>
      <c r="J643" s="214">
        <v>0</v>
      </c>
      <c r="K643" s="163">
        <f t="shared" ref="K643:K652" ca="1" si="270">IF(I643&gt;0,J643*100/I643,0)</f>
        <v>0</v>
      </c>
      <c r="L643" s="163"/>
      <c r="M643" s="163"/>
      <c r="N643" s="496"/>
      <c r="O643" s="163"/>
      <c r="P643" s="163"/>
      <c r="Q643" s="571"/>
      <c r="R643" s="571"/>
      <c r="S643" s="571"/>
      <c r="T643" s="571"/>
      <c r="U643" s="571"/>
      <c r="V643" s="571"/>
      <c r="W643" s="571"/>
      <c r="X643" s="571"/>
      <c r="Y643" s="571"/>
      <c r="Z643" s="571"/>
    </row>
    <row r="644" spans="1:26" ht="18.75">
      <c r="A644" s="735"/>
      <c r="B644" s="568"/>
      <c r="C644" s="754"/>
      <c r="D644" s="619"/>
      <c r="E644" s="737" t="s">
        <v>273</v>
      </c>
      <c r="F644" s="619"/>
      <c r="G644" s="753"/>
      <c r="H644" s="755" t="s">
        <v>274</v>
      </c>
      <c r="I644" s="269">
        <f ca="1">IFERROR(__xludf.DUMMYFUNCTION("IMPORTRANGE(""https://docs.google.com/spreadsheets/d/1QqKyyYR6Q21VydFLVH3TRQUabQu_ym0Zz7PgGX0-kHA/edit?usp=sharing"",""แผน!HR39"")"),0)</f>
        <v>0</v>
      </c>
      <c r="J644" s="214">
        <v>0</v>
      </c>
      <c r="K644" s="163">
        <f t="shared" ca="1" si="270"/>
        <v>0</v>
      </c>
      <c r="L644" s="163"/>
      <c r="M644" s="163"/>
      <c r="N644" s="496"/>
      <c r="O644" s="163"/>
      <c r="P644" s="163"/>
      <c r="Q644" s="571"/>
      <c r="R644" s="571"/>
      <c r="S644" s="571"/>
      <c r="T644" s="571"/>
      <c r="U644" s="571"/>
      <c r="V644" s="571"/>
      <c r="W644" s="571"/>
      <c r="X644" s="571"/>
      <c r="Y644" s="571"/>
      <c r="Z644" s="571"/>
    </row>
    <row r="645" spans="1:26" ht="18.75">
      <c r="A645" s="735"/>
      <c r="B645" s="568"/>
      <c r="C645" s="754"/>
      <c r="D645" s="619"/>
      <c r="E645" s="737" t="s">
        <v>275</v>
      </c>
      <c r="F645" s="619"/>
      <c r="G645" s="753"/>
      <c r="H645" s="755" t="s">
        <v>34</v>
      </c>
      <c r="I645" s="269">
        <v>0</v>
      </c>
      <c r="J645" s="269">
        <f ca="1">IFERROR(__xludf.DUMMYFUNCTION("IMPORTRANGE(""https://docs.google.com/spreadsheets/d/1XWAQStnk-4SwqDmLtmXYiTMKHgktTP8We1SCoS47DrQ/edit?usp=sharing"",""จัดที่ดิน!AS39"")"),0)</f>
        <v>0</v>
      </c>
      <c r="K645" s="163">
        <f t="shared" si="270"/>
        <v>0</v>
      </c>
      <c r="L645" s="163"/>
      <c r="M645" s="163"/>
      <c r="N645" s="496"/>
      <c r="O645" s="163"/>
      <c r="P645" s="163"/>
      <c r="Q645" s="571"/>
      <c r="R645" s="571"/>
      <c r="S645" s="571"/>
      <c r="T645" s="571"/>
      <c r="U645" s="571"/>
      <c r="V645" s="571"/>
      <c r="W645" s="571"/>
      <c r="X645" s="571"/>
      <c r="Y645" s="571"/>
      <c r="Z645" s="571"/>
    </row>
    <row r="646" spans="1:26" ht="18.75">
      <c r="A646" s="735"/>
      <c r="B646" s="568"/>
      <c r="C646" s="754"/>
      <c r="D646" s="619"/>
      <c r="E646" s="619"/>
      <c r="F646" s="619"/>
      <c r="G646" s="753"/>
      <c r="H646" s="755" t="s">
        <v>46</v>
      </c>
      <c r="I646" s="269">
        <v>0</v>
      </c>
      <c r="J646" s="269">
        <f ca="1">IFERROR(__xludf.DUMMYFUNCTION("IMPORTRANGE(""https://docs.google.com/spreadsheets/d/1XWAQStnk-4SwqDmLtmXYiTMKHgktTP8We1SCoS47DrQ/edit?usp=sharing"",""จัดที่ดิน!AT39"")"),0)</f>
        <v>0</v>
      </c>
      <c r="K646" s="496">
        <f t="shared" si="270"/>
        <v>0</v>
      </c>
      <c r="L646" s="163"/>
      <c r="M646" s="163"/>
      <c r="N646" s="496"/>
      <c r="O646" s="163"/>
      <c r="P646" s="163"/>
      <c r="Q646" s="571"/>
      <c r="R646" s="571"/>
      <c r="S646" s="571"/>
      <c r="T646" s="571"/>
      <c r="U646" s="571"/>
      <c r="V646" s="571"/>
      <c r="W646" s="571"/>
      <c r="X646" s="571"/>
      <c r="Y646" s="571"/>
      <c r="Z646" s="571"/>
    </row>
    <row r="647" spans="1:26" ht="18.75">
      <c r="A647" s="735"/>
      <c r="B647" s="568"/>
      <c r="C647" s="754"/>
      <c r="D647" s="619"/>
      <c r="E647" s="737" t="s">
        <v>162</v>
      </c>
      <c r="F647" s="619"/>
      <c r="G647" s="753"/>
      <c r="H647" s="755" t="s">
        <v>35</v>
      </c>
      <c r="I647" s="269">
        <f ca="1">IFERROR(__xludf.DUMMYFUNCTION("IMPORTRANGE(""https://docs.google.com/spreadsheets/d/1QqKyyYR6Q21VydFLVH3TRQUabQu_ym0Zz7PgGX0-kHA/edit?usp=sharing"",""แผน!HS39"")"),13)</f>
        <v>13</v>
      </c>
      <c r="J647" s="269">
        <f ca="1">IFERROR(__xludf.DUMMYFUNCTION("IMPORTRANGE(""https://docs.google.com/spreadsheets/d/1XWAQStnk-4SwqDmLtmXYiTMKHgktTP8We1SCoS47DrQ/edit?usp=sharing"",""จัดที่ดิน!AU39"")"),0)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1"/>
      <c r="R647" s="571"/>
      <c r="S647" s="571"/>
      <c r="T647" s="571"/>
      <c r="U647" s="571"/>
      <c r="V647" s="571"/>
      <c r="W647" s="571"/>
      <c r="X647" s="571"/>
      <c r="Y647" s="571"/>
      <c r="Z647" s="571"/>
    </row>
    <row r="648" spans="1:26" ht="18.75">
      <c r="A648" s="735"/>
      <c r="B648" s="568"/>
      <c r="C648" s="754"/>
      <c r="D648" s="619"/>
      <c r="E648" s="619"/>
      <c r="F648" s="619"/>
      <c r="G648" s="753"/>
      <c r="H648" s="755" t="s">
        <v>46</v>
      </c>
      <c r="I648" s="269">
        <v>0</v>
      </c>
      <c r="J648" s="269">
        <f ca="1">IFERROR(__xludf.DUMMYFUNCTION("IMPORTRANGE(""https://docs.google.com/spreadsheets/d/1XWAQStnk-4SwqDmLtmXYiTMKHgktTP8We1SCoS47DrQ/edit?usp=sharing"",""จัดที่ดิน!AV39"")"),0)</f>
        <v>0</v>
      </c>
      <c r="K648" s="496">
        <f t="shared" si="270"/>
        <v>0</v>
      </c>
      <c r="L648" s="163"/>
      <c r="M648" s="163"/>
      <c r="N648" s="163"/>
      <c r="O648" s="163"/>
      <c r="P648" s="163"/>
      <c r="Q648" s="571"/>
      <c r="R648" s="571"/>
      <c r="S648" s="571"/>
      <c r="T648" s="571"/>
      <c r="U648" s="571"/>
      <c r="V648" s="571"/>
      <c r="W648" s="571"/>
      <c r="X648" s="571"/>
      <c r="Y648" s="571"/>
      <c r="Z648" s="571"/>
    </row>
    <row r="649" spans="1:26" ht="18.75">
      <c r="A649" s="735"/>
      <c r="B649" s="568"/>
      <c r="C649" s="754"/>
      <c r="D649" s="619"/>
      <c r="E649" s="737" t="s">
        <v>276</v>
      </c>
      <c r="F649" s="619"/>
      <c r="G649" s="753"/>
      <c r="H649" s="755" t="s">
        <v>35</v>
      </c>
      <c r="I649" s="269">
        <f ca="1">IFERROR(__xludf.DUMMYFUNCTION("IMPORTRANGE(""https://docs.google.com/spreadsheets/d/1QqKyyYR6Q21VydFLVH3TRQUabQu_ym0Zz7PgGX0-kHA/edit?usp=sharing"",""แผน!HS39"")"),13)</f>
        <v>13</v>
      </c>
      <c r="J649" s="269">
        <f ca="1">IFERROR(__xludf.DUMMYFUNCTION("IMPORTRANGE(""https://docs.google.com/spreadsheets/d/1XWAQStnk-4SwqDmLtmXYiTMKHgktTP8We1SCoS47DrQ/edit?usp=sharing"",""จัดที่ดิน!AW39"")"),0)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1"/>
      <c r="R649" s="571"/>
      <c r="S649" s="571"/>
      <c r="T649" s="571"/>
      <c r="U649" s="571"/>
      <c r="V649" s="571"/>
      <c r="W649" s="571"/>
      <c r="X649" s="571"/>
      <c r="Y649" s="571"/>
      <c r="Z649" s="571"/>
    </row>
    <row r="650" spans="1:26" ht="18.75">
      <c r="A650" s="735"/>
      <c r="B650" s="568"/>
      <c r="C650" s="754"/>
      <c r="D650" s="619"/>
      <c r="E650" s="619"/>
      <c r="F650" s="619"/>
      <c r="G650" s="753"/>
      <c r="H650" s="755" t="s">
        <v>46</v>
      </c>
      <c r="I650" s="269">
        <v>0</v>
      </c>
      <c r="J650" s="269">
        <f ca="1">IFERROR(__xludf.DUMMYFUNCTION("IMPORTRANGE(""https://docs.google.com/spreadsheets/d/1XWAQStnk-4SwqDmLtmXYiTMKHgktTP8We1SCoS47DrQ/edit?usp=sharing"",""จัดที่ดิน!AX39"")"),0)</f>
        <v>0</v>
      </c>
      <c r="K650" s="496">
        <f t="shared" si="270"/>
        <v>0</v>
      </c>
      <c r="L650" s="163"/>
      <c r="M650" s="163"/>
      <c r="N650" s="163"/>
      <c r="O650" s="163"/>
      <c r="P650" s="163"/>
      <c r="Q650" s="571"/>
      <c r="R650" s="571"/>
      <c r="S650" s="571"/>
      <c r="T650" s="571"/>
      <c r="U650" s="571"/>
      <c r="V650" s="571"/>
      <c r="W650" s="571"/>
      <c r="X650" s="571"/>
      <c r="Y650" s="571"/>
      <c r="Z650" s="571"/>
    </row>
    <row r="651" spans="1:26" ht="18.75">
      <c r="A651" s="735"/>
      <c r="B651" s="568"/>
      <c r="C651" s="754"/>
      <c r="D651" s="619"/>
      <c r="E651" s="737" t="s">
        <v>277</v>
      </c>
      <c r="F651" s="619"/>
      <c r="G651" s="753"/>
      <c r="H651" s="755" t="s">
        <v>35</v>
      </c>
      <c r="I651" s="269">
        <f ca="1">IFERROR(__xludf.DUMMYFUNCTION("IMPORTRANGE(""https://docs.google.com/spreadsheets/d/1QqKyyYR6Q21VydFLVH3TRQUabQu_ym0Zz7PgGX0-kHA/edit?usp=sharing"",""แผน!HS39"")"),13)</f>
        <v>13</v>
      </c>
      <c r="J651" s="269">
        <f ca="1">IFERROR(__xludf.DUMMYFUNCTION("IMPORTRANGE(""https://docs.google.com/spreadsheets/d/1XWAQStnk-4SwqDmLtmXYiTMKHgktTP8We1SCoS47DrQ/edit?usp=sharing"",""จัดที่ดิน!AY39"")"),0)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1"/>
      <c r="R651" s="571"/>
      <c r="S651" s="571"/>
      <c r="T651" s="571"/>
      <c r="U651" s="571"/>
      <c r="V651" s="571"/>
      <c r="W651" s="571"/>
      <c r="X651" s="571"/>
      <c r="Y651" s="571"/>
      <c r="Z651" s="571"/>
    </row>
    <row r="652" spans="1:26" ht="18.75">
      <c r="A652" s="738"/>
      <c r="B652" s="739"/>
      <c r="C652" s="740"/>
      <c r="D652" s="725"/>
      <c r="E652" s="725"/>
      <c r="F652" s="725"/>
      <c r="G652" s="726"/>
      <c r="H652" s="498" t="s">
        <v>46</v>
      </c>
      <c r="I652" s="499">
        <v>0</v>
      </c>
      <c r="J652" s="499">
        <f ca="1">IFERROR(__xludf.DUMMYFUNCTION("IMPORTRANGE(""https://docs.google.com/spreadsheets/d/1XWAQStnk-4SwqDmLtmXYiTMKHgktTP8We1SCoS47DrQ/edit?usp=sharing"",""จัดที่ดิน!AZ39"")"),0)</f>
        <v>0</v>
      </c>
      <c r="K652" s="500">
        <f t="shared" si="270"/>
        <v>0</v>
      </c>
      <c r="L652" s="384"/>
      <c r="M652" s="384"/>
      <c r="N652" s="384"/>
      <c r="O652" s="384"/>
      <c r="P652" s="384"/>
      <c r="Q652" s="571"/>
      <c r="R652" s="571"/>
      <c r="S652" s="571"/>
      <c r="T652" s="571"/>
      <c r="U652" s="571"/>
      <c r="V652" s="571"/>
      <c r="W652" s="571"/>
      <c r="X652" s="571"/>
      <c r="Y652" s="571"/>
      <c r="Z652" s="571"/>
    </row>
    <row r="653" spans="1:26" ht="19.5" hidden="1">
      <c r="A653" s="741">
        <v>8</v>
      </c>
      <c r="B653" s="728" t="s">
        <v>278</v>
      </c>
      <c r="C653" s="729"/>
      <c r="D653" s="729"/>
      <c r="E653" s="729"/>
      <c r="F653" s="729"/>
      <c r="G653" s="730"/>
      <c r="H653" s="730"/>
      <c r="I653" s="742"/>
      <c r="J653" s="742"/>
      <c r="K653" s="734"/>
      <c r="L653" s="734"/>
      <c r="M653" s="734"/>
      <c r="N653" s="734"/>
      <c r="O653" s="734"/>
      <c r="P653" s="734"/>
      <c r="Q653" s="571"/>
      <c r="R653" s="571"/>
      <c r="S653" s="571"/>
      <c r="T653" s="571"/>
      <c r="U653" s="571"/>
      <c r="V653" s="571"/>
      <c r="W653" s="571"/>
      <c r="X653" s="571"/>
      <c r="Y653" s="571"/>
      <c r="Z653" s="571"/>
    </row>
    <row r="654" spans="1:26" ht="19.5" hidden="1">
      <c r="A654" s="666"/>
      <c r="B654" s="665" t="s">
        <v>279</v>
      </c>
      <c r="C654" s="666"/>
      <c r="D654" s="666"/>
      <c r="E654" s="666"/>
      <c r="F654" s="666"/>
      <c r="G654" s="667"/>
      <c r="H654" s="698" t="s">
        <v>46</v>
      </c>
      <c r="I654" s="699">
        <f t="shared" ref="I654:J654" ca="1" si="271">I669</f>
        <v>0</v>
      </c>
      <c r="J654" s="699">
        <f t="shared" si="271"/>
        <v>0</v>
      </c>
      <c r="K654" s="670">
        <f ca="1">IF(I654&gt;0,J654*100/I654,0)</f>
        <v>0</v>
      </c>
      <c r="L654" s="671"/>
      <c r="M654" s="671"/>
      <c r="N654" s="671"/>
      <c r="O654" s="671"/>
      <c r="P654" s="671"/>
      <c r="Q654" s="571"/>
      <c r="R654" s="571"/>
      <c r="S654" s="571"/>
      <c r="T654" s="571"/>
      <c r="U654" s="571"/>
      <c r="V654" s="571"/>
      <c r="W654" s="571"/>
      <c r="X654" s="571"/>
      <c r="Y654" s="571"/>
      <c r="Z654" s="571"/>
    </row>
    <row r="655" spans="1:26" ht="19.5" hidden="1">
      <c r="A655" s="590"/>
      <c r="B655" s="754"/>
      <c r="C655" s="754" t="s">
        <v>16</v>
      </c>
      <c r="D655" s="838" t="s">
        <v>17</v>
      </c>
      <c r="E655" s="832"/>
      <c r="F655" s="832"/>
      <c r="G655" s="189"/>
      <c r="H655" s="591" t="s">
        <v>12</v>
      </c>
      <c r="I655" s="269"/>
      <c r="J655" s="269"/>
      <c r="K655" s="496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1"/>
      <c r="R655" s="571"/>
      <c r="S655" s="571"/>
      <c r="T655" s="571"/>
      <c r="U655" s="571"/>
      <c r="V655" s="571"/>
      <c r="W655" s="571"/>
      <c r="X655" s="571"/>
      <c r="Y655" s="571"/>
      <c r="Z655" s="571"/>
    </row>
    <row r="656" spans="1:26" ht="18.75" hidden="1">
      <c r="A656" s="592"/>
      <c r="B656" s="750"/>
      <c r="C656" s="750"/>
      <c r="D656" s="711"/>
      <c r="E656" s="750" t="s">
        <v>184</v>
      </c>
      <c r="F656" s="750"/>
      <c r="G656" s="596"/>
      <c r="H656" s="165" t="s">
        <v>12</v>
      </c>
      <c r="I656" s="610"/>
      <c r="J656" s="610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7"/>
      <c r="R656" s="597"/>
      <c r="S656" s="597"/>
      <c r="T656" s="597"/>
      <c r="U656" s="597"/>
      <c r="V656" s="597"/>
      <c r="W656" s="597"/>
      <c r="X656" s="597"/>
      <c r="Y656" s="597"/>
      <c r="Z656" s="597"/>
    </row>
    <row r="657" spans="1:26" ht="18.75" hidden="1">
      <c r="A657" s="592"/>
      <c r="B657" s="600"/>
      <c r="C657" s="750"/>
      <c r="D657" s="711"/>
      <c r="E657" s="750" t="s">
        <v>185</v>
      </c>
      <c r="F657" s="750"/>
      <c r="G657" s="596"/>
      <c r="H657" s="165" t="s">
        <v>12</v>
      </c>
      <c r="I657" s="610"/>
      <c r="J657" s="610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7"/>
      <c r="R657" s="597"/>
      <c r="S657" s="597"/>
      <c r="T657" s="597"/>
      <c r="U657" s="597"/>
      <c r="V657" s="597"/>
      <c r="W657" s="597"/>
      <c r="X657" s="597"/>
      <c r="Y657" s="597"/>
      <c r="Z657" s="597"/>
    </row>
    <row r="658" spans="1:26" ht="18.75" hidden="1">
      <c r="A658" s="590"/>
      <c r="B658" s="568"/>
      <c r="C658" s="754"/>
      <c r="D658" s="599" t="s">
        <v>20</v>
      </c>
      <c r="E658" s="754"/>
      <c r="F658" s="754"/>
      <c r="G658" s="189"/>
      <c r="H658" s="161" t="s">
        <v>12</v>
      </c>
      <c r="I658" s="184"/>
      <c r="J658" s="184"/>
      <c r="K658" s="163"/>
      <c r="L658" s="496">
        <f t="shared" ref="L658:N658" ca="1" si="276">L659+L660</f>
        <v>0</v>
      </c>
      <c r="M658" s="496">
        <f t="shared" si="276"/>
        <v>0</v>
      </c>
      <c r="N658" s="496">
        <f t="shared" si="276"/>
        <v>0</v>
      </c>
      <c r="O658" s="496">
        <f t="shared" ca="1" si="273"/>
        <v>0</v>
      </c>
      <c r="P658" s="496">
        <f t="shared" si="274"/>
        <v>0</v>
      </c>
      <c r="Q658" s="571"/>
      <c r="R658" s="571"/>
      <c r="S658" s="571"/>
      <c r="T658" s="571"/>
      <c r="U658" s="571"/>
      <c r="V658" s="571"/>
      <c r="W658" s="571"/>
      <c r="X658" s="571"/>
      <c r="Y658" s="571"/>
      <c r="Z658" s="571"/>
    </row>
    <row r="659" spans="1:26" ht="18.75" hidden="1">
      <c r="A659" s="592"/>
      <c r="B659" s="600"/>
      <c r="C659" s="750"/>
      <c r="D659" s="711"/>
      <c r="E659" s="750" t="s">
        <v>184</v>
      </c>
      <c r="F659" s="750"/>
      <c r="G659" s="596"/>
      <c r="H659" s="165" t="s">
        <v>12</v>
      </c>
      <c r="I659" s="610"/>
      <c r="J659" s="610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7"/>
      <c r="R659" s="597"/>
      <c r="S659" s="597"/>
      <c r="T659" s="597"/>
      <c r="U659" s="597"/>
      <c r="V659" s="597"/>
      <c r="W659" s="597"/>
      <c r="X659" s="597"/>
      <c r="Y659" s="597"/>
      <c r="Z659" s="597"/>
    </row>
    <row r="660" spans="1:26" ht="18.75" hidden="1">
      <c r="A660" s="592"/>
      <c r="B660" s="600"/>
      <c r="C660" s="750"/>
      <c r="D660" s="711"/>
      <c r="E660" s="750" t="s">
        <v>185</v>
      </c>
      <c r="F660" s="750"/>
      <c r="G660" s="596"/>
      <c r="H660" s="165" t="s">
        <v>12</v>
      </c>
      <c r="I660" s="610"/>
      <c r="J660" s="610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7"/>
      <c r="R660" s="597"/>
      <c r="S660" s="597"/>
      <c r="T660" s="597"/>
      <c r="U660" s="597"/>
      <c r="V660" s="597"/>
      <c r="W660" s="597"/>
      <c r="X660" s="597"/>
      <c r="Y660" s="597"/>
      <c r="Z660" s="597"/>
    </row>
    <row r="661" spans="1:26" ht="18.75" hidden="1">
      <c r="A661" s="567"/>
      <c r="B661" s="568"/>
      <c r="C661" s="754"/>
      <c r="D661" s="754"/>
      <c r="E661" s="754"/>
      <c r="F661" s="754" t="s">
        <v>186</v>
      </c>
      <c r="G661" s="189"/>
      <c r="H661" s="161" t="s">
        <v>12</v>
      </c>
      <c r="I661" s="269"/>
      <c r="J661" s="269"/>
      <c r="K661" s="496"/>
      <c r="L661" s="496"/>
      <c r="M661" s="496"/>
      <c r="N661" s="816">
        <v>0</v>
      </c>
      <c r="O661" s="496"/>
      <c r="P661" s="496"/>
      <c r="Q661" s="571"/>
      <c r="R661" s="571"/>
      <c r="S661" s="571"/>
      <c r="T661" s="571"/>
      <c r="U661" s="571"/>
      <c r="V661" s="571"/>
      <c r="W661" s="571"/>
      <c r="X661" s="571"/>
      <c r="Y661" s="571"/>
      <c r="Z661" s="571"/>
    </row>
    <row r="662" spans="1:26" ht="18.75" hidden="1">
      <c r="A662" s="567"/>
      <c r="B662" s="568"/>
      <c r="C662" s="754"/>
      <c r="D662" s="754"/>
      <c r="E662" s="754"/>
      <c r="F662" s="754" t="s">
        <v>187</v>
      </c>
      <c r="G662" s="189"/>
      <c r="H662" s="161" t="s">
        <v>12</v>
      </c>
      <c r="I662" s="269"/>
      <c r="J662" s="269"/>
      <c r="K662" s="496"/>
      <c r="L662" s="496"/>
      <c r="M662" s="496"/>
      <c r="N662" s="816">
        <v>0</v>
      </c>
      <c r="O662" s="496"/>
      <c r="P662" s="496"/>
      <c r="Q662" s="571"/>
      <c r="R662" s="571"/>
      <c r="S662" s="571"/>
      <c r="T662" s="571"/>
      <c r="U662" s="571"/>
      <c r="V662" s="571"/>
      <c r="W662" s="571"/>
      <c r="X662" s="571"/>
      <c r="Y662" s="571"/>
      <c r="Z662" s="571"/>
    </row>
    <row r="663" spans="1:26" ht="18.75" hidden="1">
      <c r="A663" s="567"/>
      <c r="B663" s="568"/>
      <c r="C663" s="568"/>
      <c r="D663" s="754"/>
      <c r="E663" s="754"/>
      <c r="F663" s="754" t="s">
        <v>188</v>
      </c>
      <c r="G663" s="189"/>
      <c r="H663" s="161" t="s">
        <v>12</v>
      </c>
      <c r="I663" s="269"/>
      <c r="J663" s="269"/>
      <c r="K663" s="496"/>
      <c r="L663" s="496"/>
      <c r="M663" s="496"/>
      <c r="N663" s="816">
        <v>0</v>
      </c>
      <c r="O663" s="496"/>
      <c r="P663" s="496"/>
      <c r="Q663" s="571"/>
      <c r="R663" s="571"/>
      <c r="S663" s="571"/>
      <c r="T663" s="571"/>
      <c r="U663" s="571"/>
      <c r="V663" s="571"/>
      <c r="W663" s="571"/>
      <c r="X663" s="571"/>
      <c r="Y663" s="571"/>
      <c r="Z663" s="571"/>
    </row>
    <row r="664" spans="1:26" ht="18.75" hidden="1">
      <c r="A664" s="567"/>
      <c r="B664" s="568"/>
      <c r="C664" s="568"/>
      <c r="D664" s="568"/>
      <c r="E664" s="754"/>
      <c r="F664" s="754" t="s">
        <v>189</v>
      </c>
      <c r="G664" s="189"/>
      <c r="H664" s="161" t="s">
        <v>12</v>
      </c>
      <c r="I664" s="269"/>
      <c r="J664" s="269"/>
      <c r="K664" s="496"/>
      <c r="L664" s="496"/>
      <c r="M664" s="496"/>
      <c r="N664" s="816">
        <v>0</v>
      </c>
      <c r="O664" s="496"/>
      <c r="P664" s="496"/>
      <c r="Q664" s="571"/>
      <c r="R664" s="571"/>
      <c r="S664" s="571"/>
      <c r="T664" s="571"/>
      <c r="U664" s="571"/>
      <c r="V664" s="571"/>
      <c r="W664" s="571"/>
      <c r="X664" s="571"/>
      <c r="Y664" s="571"/>
      <c r="Z664" s="571"/>
    </row>
    <row r="665" spans="1:26" ht="18.75" hidden="1">
      <c r="A665" s="590"/>
      <c r="B665" s="568"/>
      <c r="C665" s="568"/>
      <c r="D665" s="599" t="s">
        <v>21</v>
      </c>
      <c r="E665" s="754"/>
      <c r="F665" s="754"/>
      <c r="G665" s="189"/>
      <c r="H665" s="168" t="s">
        <v>12</v>
      </c>
      <c r="I665" s="184"/>
      <c r="J665" s="184"/>
      <c r="K665" s="163"/>
      <c r="L665" s="496">
        <f t="shared" ref="L665:N665" si="277">L666+L667</f>
        <v>0</v>
      </c>
      <c r="M665" s="496">
        <f t="shared" si="277"/>
        <v>0</v>
      </c>
      <c r="N665" s="496">
        <f t="shared" si="277"/>
        <v>0</v>
      </c>
      <c r="O665" s="496">
        <f t="shared" ref="O665:O667" si="278">IF(L665&gt;0,N665*100/L665,0)</f>
        <v>0</v>
      </c>
      <c r="P665" s="496">
        <f t="shared" ref="P665:P667" si="279">IF(M665&gt;0,N665*100/M665,0)</f>
        <v>0</v>
      </c>
      <c r="Q665" s="571"/>
      <c r="R665" s="571"/>
      <c r="S665" s="571"/>
      <c r="T665" s="571"/>
      <c r="U665" s="571"/>
      <c r="V665" s="571"/>
      <c r="W665" s="571"/>
      <c r="X665" s="571"/>
      <c r="Y665" s="571"/>
      <c r="Z665" s="571"/>
    </row>
    <row r="666" spans="1:26" ht="18.75" hidden="1">
      <c r="A666" s="592"/>
      <c r="B666" s="600"/>
      <c r="C666" s="600"/>
      <c r="D666" s="600"/>
      <c r="E666" s="750" t="s">
        <v>18</v>
      </c>
      <c r="F666" s="750"/>
      <c r="G666" s="596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7"/>
      <c r="R666" s="597"/>
      <c r="S666" s="597"/>
      <c r="T666" s="597"/>
      <c r="U666" s="597"/>
      <c r="V666" s="597"/>
      <c r="W666" s="597"/>
      <c r="X666" s="597"/>
      <c r="Y666" s="597"/>
      <c r="Z666" s="597"/>
    </row>
    <row r="667" spans="1:26" ht="18.75" hidden="1">
      <c r="A667" s="592"/>
      <c r="B667" s="600"/>
      <c r="C667" s="600"/>
      <c r="D667" s="600"/>
      <c r="E667" s="750" t="s">
        <v>19</v>
      </c>
      <c r="F667" s="750"/>
      <c r="G667" s="596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7"/>
      <c r="R667" s="597"/>
      <c r="S667" s="597"/>
      <c r="T667" s="597"/>
      <c r="U667" s="597"/>
      <c r="V667" s="597"/>
      <c r="W667" s="597"/>
      <c r="X667" s="597"/>
      <c r="Y667" s="597"/>
      <c r="Z667" s="597"/>
    </row>
    <row r="668" spans="1:26" ht="19.5" hidden="1">
      <c r="A668" s="601"/>
      <c r="B668" s="611"/>
      <c r="C668" s="568" t="s">
        <v>16</v>
      </c>
      <c r="D668" s="860" t="s">
        <v>38</v>
      </c>
      <c r="E668" s="752"/>
      <c r="F668" s="752"/>
      <c r="G668" s="606"/>
      <c r="H668" s="753"/>
      <c r="I668" s="184"/>
      <c r="J668" s="184"/>
      <c r="K668" s="163"/>
      <c r="L668" s="163"/>
      <c r="M668" s="163"/>
      <c r="N668" s="163"/>
      <c r="O668" s="163"/>
      <c r="P668" s="163"/>
      <c r="Q668" s="571"/>
      <c r="R668" s="571"/>
      <c r="S668" s="571"/>
      <c r="T668" s="571"/>
      <c r="U668" s="571"/>
      <c r="V668" s="571"/>
      <c r="W668" s="571"/>
      <c r="X668" s="571"/>
      <c r="Y668" s="571"/>
      <c r="Z668" s="571"/>
    </row>
    <row r="669" spans="1:26" ht="19.5" hidden="1">
      <c r="A669" s="601"/>
      <c r="B669" s="611"/>
      <c r="C669" s="611"/>
      <c r="D669" s="611" t="s">
        <v>280</v>
      </c>
      <c r="E669" s="619"/>
      <c r="F669" s="619"/>
      <c r="G669" s="753"/>
      <c r="H669" s="758" t="s">
        <v>46</v>
      </c>
      <c r="I669" s="674">
        <f ca="1">IFERROR(__xludf.DUMMYFUNCTION("IMPORTRANGE(""https://docs.google.com/spreadsheets/d/1QqKyyYR6Q21VydFLVH3TRQUabQu_ym0Zz7PgGX0-kHA/edit?usp=sharing"",""แผน!IA39"")"),0)</f>
        <v>0</v>
      </c>
      <c r="J669" s="674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1"/>
      <c r="R669" s="571"/>
      <c r="S669" s="571"/>
      <c r="T669" s="571"/>
      <c r="U669" s="571"/>
      <c r="V669" s="571"/>
      <c r="W669" s="571"/>
      <c r="X669" s="571"/>
      <c r="Y669" s="571"/>
      <c r="Z669" s="571"/>
    </row>
    <row r="670" spans="1:26" ht="18.75" hidden="1">
      <c r="A670" s="601"/>
      <c r="B670" s="611"/>
      <c r="C670" s="611"/>
      <c r="D670" s="611"/>
      <c r="E670" s="619" t="s">
        <v>281</v>
      </c>
      <c r="F670" s="619"/>
      <c r="G670" s="753"/>
      <c r="H670" s="755" t="s">
        <v>69</v>
      </c>
      <c r="I670" s="269">
        <f ca="1">IFERROR(__xludf.DUMMYFUNCTION("IMPORTRANGE(""https://docs.google.com/spreadsheets/d/1QqKyyYR6Q21VydFLVH3TRQUabQu_ym0Zz7PgGX0-kHA/edit?usp=sharing"",""แผน!HZ39"")"),0)</f>
        <v>0</v>
      </c>
      <c r="J670" s="214">
        <v>0</v>
      </c>
      <c r="K670" s="496">
        <f ca="1">IF(I670&gt;0,(J670*100)/I670,0)</f>
        <v>0</v>
      </c>
      <c r="L670" s="163"/>
      <c r="M670" s="163"/>
      <c r="N670" s="163"/>
      <c r="O670" s="163"/>
      <c r="P670" s="163"/>
      <c r="Q670" s="571"/>
      <c r="R670" s="571"/>
      <c r="S670" s="571"/>
      <c r="T670" s="571"/>
      <c r="U670" s="571"/>
      <c r="V670" s="571"/>
      <c r="W670" s="571"/>
      <c r="X670" s="571"/>
      <c r="Y670" s="571"/>
      <c r="Z670" s="571"/>
    </row>
    <row r="671" spans="1:26" ht="18.75" hidden="1">
      <c r="A671" s="601"/>
      <c r="B671" s="611"/>
      <c r="C671" s="611"/>
      <c r="D671" s="611"/>
      <c r="E671" s="619" t="s">
        <v>282</v>
      </c>
      <c r="F671" s="619"/>
      <c r="G671" s="753"/>
      <c r="H671" s="755" t="s">
        <v>69</v>
      </c>
      <c r="I671" s="269">
        <f ca="1">IFERROR(__xludf.DUMMYFUNCTION("IMPORTRANGE(""https://docs.google.com/spreadsheets/d/1QqKyyYR6Q21VydFLVH3TRQUabQu_ym0Zz7PgGX0-kHA/edit?usp=sharing"",""แผน!HZ39"")"),0)</f>
        <v>0</v>
      </c>
      <c r="J671" s="214">
        <v>0</v>
      </c>
      <c r="K671" s="496">
        <f ca="1">IF(I$671&gt;0,J671*100/I$671,0)</f>
        <v>0</v>
      </c>
      <c r="L671" s="163"/>
      <c r="M671" s="163"/>
      <c r="N671" s="163"/>
      <c r="O671" s="163"/>
      <c r="P671" s="163"/>
      <c r="Q671" s="571"/>
      <c r="R671" s="571"/>
      <c r="S671" s="571"/>
      <c r="T671" s="571"/>
      <c r="U671" s="571"/>
      <c r="V671" s="571"/>
      <c r="W671" s="571"/>
      <c r="X671" s="571"/>
      <c r="Y671" s="571"/>
      <c r="Z671" s="571"/>
    </row>
    <row r="672" spans="1:26" ht="18.75" hidden="1">
      <c r="A672" s="601"/>
      <c r="B672" s="611"/>
      <c r="C672" s="611"/>
      <c r="D672" s="611"/>
      <c r="E672" s="619" t="s">
        <v>283</v>
      </c>
      <c r="F672" s="619"/>
      <c r="G672" s="753"/>
      <c r="H672" s="755" t="s">
        <v>46</v>
      </c>
      <c r="I672" s="269"/>
      <c r="J672" s="214">
        <v>0</v>
      </c>
      <c r="K672" s="496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1"/>
      <c r="R672" s="571"/>
      <c r="S672" s="571"/>
      <c r="T672" s="571"/>
      <c r="U672" s="571"/>
      <c r="V672" s="571"/>
      <c r="W672" s="571"/>
      <c r="X672" s="571"/>
      <c r="Y672" s="571"/>
      <c r="Z672" s="571"/>
    </row>
    <row r="673" spans="1:26" ht="18.75" hidden="1">
      <c r="A673" s="601"/>
      <c r="B673" s="611"/>
      <c r="C673" s="611"/>
      <c r="D673" s="611"/>
      <c r="E673" s="619" t="s">
        <v>284</v>
      </c>
      <c r="F673" s="619"/>
      <c r="G673" s="753"/>
      <c r="H673" s="755" t="s">
        <v>46</v>
      </c>
      <c r="I673" s="269"/>
      <c r="J673" s="214">
        <v>0</v>
      </c>
      <c r="K673" s="496">
        <f t="shared" ca="1" si="280"/>
        <v>0</v>
      </c>
      <c r="L673" s="163"/>
      <c r="M673" s="163"/>
      <c r="N673" s="163"/>
      <c r="O673" s="163"/>
      <c r="P673" s="163"/>
      <c r="Q673" s="571"/>
      <c r="R673" s="571"/>
      <c r="S673" s="571"/>
      <c r="T673" s="571"/>
      <c r="U673" s="571"/>
      <c r="V673" s="571"/>
      <c r="W673" s="571"/>
      <c r="X673" s="571"/>
      <c r="Y673" s="571"/>
      <c r="Z673" s="571"/>
    </row>
    <row r="674" spans="1:26" ht="18.75" hidden="1">
      <c r="A674" s="601"/>
      <c r="B674" s="611"/>
      <c r="C674" s="611"/>
      <c r="D674" s="611"/>
      <c r="E674" s="619" t="s">
        <v>285</v>
      </c>
      <c r="F674" s="619"/>
      <c r="G674" s="753"/>
      <c r="H674" s="755" t="s">
        <v>46</v>
      </c>
      <c r="I674" s="269"/>
      <c r="J674" s="214">
        <v>0</v>
      </c>
      <c r="K674" s="496">
        <f t="shared" ca="1" si="280"/>
        <v>0</v>
      </c>
      <c r="L674" s="163"/>
      <c r="M674" s="163"/>
      <c r="N674" s="163"/>
      <c r="O674" s="163"/>
      <c r="P674" s="163"/>
      <c r="Q674" s="571"/>
      <c r="R674" s="571"/>
      <c r="S674" s="571"/>
      <c r="T674" s="571"/>
      <c r="U674" s="571"/>
      <c r="V674" s="571"/>
      <c r="W674" s="571"/>
      <c r="X674" s="571"/>
      <c r="Y674" s="571"/>
      <c r="Z674" s="571"/>
    </row>
    <row r="675" spans="1:26" ht="19.5" hidden="1">
      <c r="A675" s="601"/>
      <c r="B675" s="611"/>
      <c r="C675" s="611"/>
      <c r="D675" s="611"/>
      <c r="E675" s="619" t="s">
        <v>286</v>
      </c>
      <c r="F675" s="619"/>
      <c r="G675" s="753"/>
      <c r="H675" s="755" t="s">
        <v>46</v>
      </c>
      <c r="I675" s="269"/>
      <c r="J675" s="674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1"/>
      <c r="R675" s="571"/>
      <c r="S675" s="571"/>
      <c r="T675" s="571"/>
      <c r="U675" s="571"/>
      <c r="V675" s="571"/>
      <c r="W675" s="571"/>
      <c r="X675" s="571"/>
      <c r="Y675" s="571"/>
      <c r="Z675" s="571"/>
    </row>
    <row r="676" spans="1:26" ht="18.75" hidden="1">
      <c r="A676" s="601"/>
      <c r="B676" s="611"/>
      <c r="C676" s="611"/>
      <c r="D676" s="611"/>
      <c r="E676" s="619"/>
      <c r="F676" s="619" t="s">
        <v>287</v>
      </c>
      <c r="G676" s="753"/>
      <c r="H676" s="755" t="s">
        <v>46</v>
      </c>
      <c r="I676" s="269"/>
      <c r="J676" s="214">
        <v>0</v>
      </c>
      <c r="K676" s="496"/>
      <c r="L676" s="163"/>
      <c r="M676" s="163"/>
      <c r="N676" s="163"/>
      <c r="O676" s="163"/>
      <c r="P676" s="163"/>
      <c r="Q676" s="571"/>
      <c r="R676" s="571"/>
      <c r="S676" s="571"/>
      <c r="T676" s="571"/>
      <c r="U676" s="571"/>
      <c r="V676" s="571"/>
      <c r="W676" s="571"/>
      <c r="X676" s="571"/>
      <c r="Y676" s="571"/>
      <c r="Z676" s="571"/>
    </row>
    <row r="677" spans="1:26" ht="18.75" hidden="1">
      <c r="A677" s="601"/>
      <c r="B677" s="611"/>
      <c r="C677" s="611"/>
      <c r="D677" s="611"/>
      <c r="E677" s="619"/>
      <c r="F677" s="619" t="s">
        <v>288</v>
      </c>
      <c r="G677" s="753"/>
      <c r="H677" s="755" t="s">
        <v>46</v>
      </c>
      <c r="I677" s="269"/>
      <c r="J677" s="214">
        <v>0</v>
      </c>
      <c r="K677" s="496"/>
      <c r="L677" s="163"/>
      <c r="M677" s="163"/>
      <c r="N677" s="163"/>
      <c r="O677" s="163"/>
      <c r="P677" s="163"/>
      <c r="Q677" s="571"/>
      <c r="R677" s="571"/>
      <c r="S677" s="571"/>
      <c r="T677" s="571"/>
      <c r="U677" s="571"/>
      <c r="V677" s="571"/>
      <c r="W677" s="571"/>
      <c r="X677" s="571"/>
      <c r="Y677" s="571"/>
      <c r="Z677" s="571"/>
    </row>
    <row r="678" spans="1:26" ht="19.5" hidden="1">
      <c r="A678" s="601"/>
      <c r="B678" s="611"/>
      <c r="C678" s="611"/>
      <c r="D678" s="611" t="s">
        <v>289</v>
      </c>
      <c r="E678" s="619"/>
      <c r="F678" s="619"/>
      <c r="G678" s="753"/>
      <c r="H678" s="755" t="s">
        <v>46</v>
      </c>
      <c r="I678" s="674">
        <f ca="1">IFERROR(__xludf.DUMMYFUNCTION("IMPORTRANGE(""https://docs.google.com/spreadsheets/d/1QqKyyYR6Q21VydFLVH3TRQUabQu_ym0Zz7PgGX0-kHA/edit?usp=sharing"",""แผน!IB39"")"),0)</f>
        <v>0</v>
      </c>
      <c r="J678" s="674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1"/>
      <c r="R678" s="571"/>
      <c r="S678" s="571"/>
      <c r="T678" s="571"/>
      <c r="U678" s="571"/>
      <c r="V678" s="571"/>
      <c r="W678" s="571"/>
      <c r="X678" s="571"/>
      <c r="Y678" s="571"/>
      <c r="Z678" s="571"/>
    </row>
    <row r="679" spans="1:26" ht="18.75" hidden="1">
      <c r="A679" s="601"/>
      <c r="B679" s="611"/>
      <c r="C679" s="611"/>
      <c r="D679" s="611"/>
      <c r="E679" s="619" t="s">
        <v>290</v>
      </c>
      <c r="F679" s="619"/>
      <c r="G679" s="753"/>
      <c r="H679" s="755" t="s">
        <v>46</v>
      </c>
      <c r="I679" s="269"/>
      <c r="J679" s="269">
        <f>J680+J681</f>
        <v>0</v>
      </c>
      <c r="K679" s="496"/>
      <c r="L679" s="163"/>
      <c r="M679" s="163"/>
      <c r="N679" s="163"/>
      <c r="O679" s="163"/>
      <c r="P679" s="163"/>
      <c r="Q679" s="571"/>
      <c r="R679" s="571"/>
      <c r="S679" s="571"/>
      <c r="T679" s="571"/>
      <c r="U679" s="571"/>
      <c r="V679" s="571"/>
      <c r="W679" s="571"/>
      <c r="X679" s="571"/>
      <c r="Y679" s="571"/>
      <c r="Z679" s="571"/>
    </row>
    <row r="680" spans="1:26" ht="18.75" hidden="1">
      <c r="A680" s="601"/>
      <c r="B680" s="611"/>
      <c r="C680" s="611"/>
      <c r="D680" s="611"/>
      <c r="E680" s="619"/>
      <c r="F680" s="619" t="s">
        <v>287</v>
      </c>
      <c r="G680" s="753"/>
      <c r="H680" s="755" t="s">
        <v>46</v>
      </c>
      <c r="I680" s="269"/>
      <c r="J680" s="214">
        <v>0</v>
      </c>
      <c r="K680" s="496"/>
      <c r="L680" s="163"/>
      <c r="M680" s="163"/>
      <c r="N680" s="163"/>
      <c r="O680" s="163"/>
      <c r="P680" s="163"/>
      <c r="Q680" s="571"/>
      <c r="R680" s="571"/>
      <c r="S680" s="571"/>
      <c r="T680" s="571"/>
      <c r="U680" s="571"/>
      <c r="V680" s="571"/>
      <c r="W680" s="571"/>
      <c r="X680" s="571"/>
      <c r="Y680" s="571"/>
      <c r="Z680" s="571"/>
    </row>
    <row r="681" spans="1:26" ht="18.75" hidden="1">
      <c r="A681" s="601"/>
      <c r="B681" s="611"/>
      <c r="C681" s="611"/>
      <c r="D681" s="611"/>
      <c r="E681" s="619"/>
      <c r="F681" s="619" t="s">
        <v>288</v>
      </c>
      <c r="G681" s="753"/>
      <c r="H681" s="755" t="s">
        <v>46</v>
      </c>
      <c r="I681" s="269"/>
      <c r="J681" s="214">
        <v>0</v>
      </c>
      <c r="K681" s="496"/>
      <c r="L681" s="163"/>
      <c r="M681" s="163"/>
      <c r="N681" s="163"/>
      <c r="O681" s="163"/>
      <c r="P681" s="163"/>
      <c r="Q681" s="571"/>
      <c r="R681" s="571"/>
      <c r="S681" s="571"/>
      <c r="T681" s="571"/>
      <c r="U681" s="571"/>
      <c r="V681" s="571"/>
      <c r="W681" s="571"/>
      <c r="X681" s="571"/>
      <c r="Y681" s="571"/>
      <c r="Z681" s="571"/>
    </row>
    <row r="682" spans="1:26" ht="18.75" hidden="1">
      <c r="A682" s="601"/>
      <c r="B682" s="611"/>
      <c r="C682" s="611"/>
      <c r="D682" s="611"/>
      <c r="E682" s="619" t="s">
        <v>291</v>
      </c>
      <c r="F682" s="619"/>
      <c r="G682" s="753"/>
      <c r="H682" s="755" t="s">
        <v>46</v>
      </c>
      <c r="I682" s="269"/>
      <c r="J682" s="214">
        <v>0</v>
      </c>
      <c r="K682" s="496"/>
      <c r="L682" s="163"/>
      <c r="M682" s="163"/>
      <c r="N682" s="163"/>
      <c r="O682" s="163"/>
      <c r="P682" s="163"/>
      <c r="Q682" s="571"/>
      <c r="R682" s="571"/>
      <c r="S682" s="571"/>
      <c r="T682" s="571"/>
      <c r="U682" s="571"/>
      <c r="V682" s="571"/>
      <c r="W682" s="571"/>
      <c r="X682" s="571"/>
      <c r="Y682" s="571"/>
      <c r="Z682" s="571"/>
    </row>
    <row r="683" spans="1:26" ht="18.75" hidden="1">
      <c r="A683" s="601"/>
      <c r="B683" s="611"/>
      <c r="C683" s="611"/>
      <c r="D683" s="611"/>
      <c r="E683" s="619"/>
      <c r="F683" s="619" t="s">
        <v>292</v>
      </c>
      <c r="G683" s="753"/>
      <c r="H683" s="755" t="s">
        <v>46</v>
      </c>
      <c r="I683" s="269"/>
      <c r="J683" s="214">
        <v>0</v>
      </c>
      <c r="K683" s="496"/>
      <c r="L683" s="163"/>
      <c r="M683" s="163"/>
      <c r="N683" s="163"/>
      <c r="O683" s="163"/>
      <c r="P683" s="163"/>
      <c r="Q683" s="571"/>
      <c r="R683" s="571"/>
      <c r="S683" s="571"/>
      <c r="T683" s="571"/>
      <c r="U683" s="571"/>
      <c r="V683" s="571"/>
      <c r="W683" s="571"/>
      <c r="X683" s="571"/>
      <c r="Y683" s="571"/>
      <c r="Z683" s="571"/>
    </row>
    <row r="684" spans="1:26" ht="19.5" hidden="1">
      <c r="A684" s="744"/>
      <c r="B684" s="745" t="s">
        <v>293</v>
      </c>
      <c r="C684" s="744"/>
      <c r="D684" s="744"/>
      <c r="E684" s="744"/>
      <c r="F684" s="744"/>
      <c r="G684" s="746"/>
      <c r="H684" s="746"/>
      <c r="I684" s="747"/>
      <c r="J684" s="747"/>
      <c r="K684" s="748"/>
      <c r="L684" s="748"/>
      <c r="M684" s="748"/>
      <c r="N684" s="748"/>
      <c r="O684" s="748"/>
      <c r="P684" s="748"/>
      <c r="Q684" s="571"/>
      <c r="R684" s="571"/>
      <c r="S684" s="571"/>
      <c r="T684" s="571"/>
      <c r="U684" s="571"/>
      <c r="V684" s="571"/>
      <c r="W684" s="571"/>
      <c r="X684" s="571"/>
      <c r="Y684" s="571"/>
      <c r="Z684" s="571"/>
    </row>
    <row r="685" spans="1:26" ht="19.5" hidden="1">
      <c r="A685" s="590"/>
      <c r="B685" s="754"/>
      <c r="C685" s="754" t="s">
        <v>16</v>
      </c>
      <c r="D685" s="838" t="s">
        <v>17</v>
      </c>
      <c r="E685" s="832"/>
      <c r="F685" s="832"/>
      <c r="G685" s="189"/>
      <c r="H685" s="591" t="s">
        <v>12</v>
      </c>
      <c r="I685" s="269"/>
      <c r="J685" s="269"/>
      <c r="K685" s="496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1"/>
      <c r="R685" s="571"/>
      <c r="S685" s="571"/>
      <c r="T685" s="571"/>
      <c r="U685" s="571"/>
      <c r="V685" s="571"/>
      <c r="W685" s="571"/>
      <c r="X685" s="571"/>
      <c r="Y685" s="571"/>
      <c r="Z685" s="571"/>
    </row>
    <row r="686" spans="1:26" ht="18.75" hidden="1">
      <c r="A686" s="592"/>
      <c r="B686" s="750"/>
      <c r="C686" s="750"/>
      <c r="D686" s="711"/>
      <c r="E686" s="750" t="s">
        <v>184</v>
      </c>
      <c r="F686" s="750"/>
      <c r="G686" s="596"/>
      <c r="H686" s="165" t="s">
        <v>12</v>
      </c>
      <c r="I686" s="610"/>
      <c r="J686" s="610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7"/>
      <c r="R686" s="597"/>
      <c r="S686" s="597"/>
      <c r="T686" s="597"/>
      <c r="U686" s="597"/>
      <c r="V686" s="597"/>
      <c r="W686" s="597"/>
      <c r="X686" s="597"/>
      <c r="Y686" s="597"/>
      <c r="Z686" s="597"/>
    </row>
    <row r="687" spans="1:26" ht="18.75" hidden="1">
      <c r="A687" s="592"/>
      <c r="B687" s="600"/>
      <c r="C687" s="750"/>
      <c r="D687" s="711"/>
      <c r="E687" s="750" t="s">
        <v>185</v>
      </c>
      <c r="F687" s="750"/>
      <c r="G687" s="596"/>
      <c r="H687" s="165" t="s">
        <v>12</v>
      </c>
      <c r="I687" s="610"/>
      <c r="J687" s="610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597"/>
      <c r="R687" s="597"/>
      <c r="S687" s="597"/>
      <c r="T687" s="597"/>
      <c r="U687" s="597"/>
      <c r="V687" s="597"/>
      <c r="W687" s="597"/>
      <c r="X687" s="597"/>
      <c r="Y687" s="597"/>
      <c r="Z687" s="597"/>
    </row>
    <row r="688" spans="1:26" ht="18.75" hidden="1">
      <c r="A688" s="590"/>
      <c r="B688" s="568"/>
      <c r="C688" s="754"/>
      <c r="D688" s="599" t="s">
        <v>20</v>
      </c>
      <c r="E688" s="754"/>
      <c r="F688" s="754"/>
      <c r="G688" s="189"/>
      <c r="H688" s="161" t="s">
        <v>12</v>
      </c>
      <c r="I688" s="184"/>
      <c r="J688" s="184"/>
      <c r="K688" s="163"/>
      <c r="L688" s="496">
        <f t="shared" ref="L688:N688" ca="1" si="285">L689+L690</f>
        <v>0</v>
      </c>
      <c r="M688" s="496">
        <f t="shared" si="285"/>
        <v>0</v>
      </c>
      <c r="N688" s="496">
        <f t="shared" si="285"/>
        <v>0</v>
      </c>
      <c r="O688" s="496">
        <f t="shared" ca="1" si="282"/>
        <v>0</v>
      </c>
      <c r="P688" s="496">
        <f t="shared" si="283"/>
        <v>0</v>
      </c>
      <c r="Q688" s="571"/>
      <c r="R688" s="571"/>
      <c r="S688" s="571"/>
      <c r="T688" s="571"/>
      <c r="U688" s="571"/>
      <c r="V688" s="571"/>
      <c r="W688" s="571"/>
      <c r="X688" s="571"/>
      <c r="Y688" s="571"/>
      <c r="Z688" s="571"/>
    </row>
    <row r="689" spans="1:26" ht="18.75" hidden="1">
      <c r="A689" s="592"/>
      <c r="B689" s="600"/>
      <c r="C689" s="750"/>
      <c r="D689" s="711"/>
      <c r="E689" s="750" t="s">
        <v>184</v>
      </c>
      <c r="F689" s="750"/>
      <c r="G689" s="596"/>
      <c r="H689" s="165" t="s">
        <v>12</v>
      </c>
      <c r="I689" s="610"/>
      <c r="J689" s="610"/>
      <c r="K689" s="93"/>
      <c r="L689" s="93">
        <v>0</v>
      </c>
      <c r="M689" s="93">
        <v>0</v>
      </c>
      <c r="N689" s="93">
        <v>0</v>
      </c>
      <c r="O689" s="93"/>
      <c r="P689" s="93"/>
      <c r="Q689" s="597"/>
      <c r="R689" s="597"/>
      <c r="S689" s="597"/>
      <c r="T689" s="597"/>
      <c r="U689" s="597"/>
      <c r="V689" s="597"/>
      <c r="W689" s="597"/>
      <c r="X689" s="597"/>
      <c r="Y689" s="597"/>
      <c r="Z689" s="597"/>
    </row>
    <row r="690" spans="1:26" ht="18.75" hidden="1">
      <c r="A690" s="592"/>
      <c r="B690" s="600"/>
      <c r="C690" s="750"/>
      <c r="D690" s="711"/>
      <c r="E690" s="750" t="s">
        <v>185</v>
      </c>
      <c r="F690" s="750"/>
      <c r="G690" s="596"/>
      <c r="H690" s="165" t="s">
        <v>12</v>
      </c>
      <c r="I690" s="610"/>
      <c r="J690" s="610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7"/>
      <c r="R690" s="597"/>
      <c r="S690" s="597"/>
      <c r="T690" s="597"/>
      <c r="U690" s="597"/>
      <c r="V690" s="597"/>
      <c r="W690" s="597"/>
      <c r="X690" s="597"/>
      <c r="Y690" s="597"/>
      <c r="Z690" s="597"/>
    </row>
    <row r="691" spans="1:26" ht="18.75" hidden="1">
      <c r="A691" s="567"/>
      <c r="B691" s="568"/>
      <c r="C691" s="754"/>
      <c r="D691" s="754"/>
      <c r="E691" s="754"/>
      <c r="F691" s="754" t="s">
        <v>186</v>
      </c>
      <c r="G691" s="189"/>
      <c r="H691" s="161" t="s">
        <v>12</v>
      </c>
      <c r="I691" s="269"/>
      <c r="J691" s="269"/>
      <c r="K691" s="496"/>
      <c r="L691" s="496"/>
      <c r="M691" s="496"/>
      <c r="N691" s="816">
        <v>0</v>
      </c>
      <c r="O691" s="496"/>
      <c r="P691" s="496"/>
      <c r="Q691" s="571"/>
      <c r="R691" s="571"/>
      <c r="S691" s="571"/>
      <c r="T691" s="571"/>
      <c r="U691" s="571"/>
      <c r="V691" s="571"/>
      <c r="W691" s="571"/>
      <c r="X691" s="571"/>
      <c r="Y691" s="571"/>
      <c r="Z691" s="571"/>
    </row>
    <row r="692" spans="1:26" ht="18.75" hidden="1">
      <c r="A692" s="567"/>
      <c r="B692" s="568"/>
      <c r="C692" s="754"/>
      <c r="D692" s="754"/>
      <c r="E692" s="754"/>
      <c r="F692" s="754" t="s">
        <v>187</v>
      </c>
      <c r="G692" s="189"/>
      <c r="H692" s="161" t="s">
        <v>12</v>
      </c>
      <c r="I692" s="269"/>
      <c r="J692" s="269"/>
      <c r="K692" s="496"/>
      <c r="L692" s="496"/>
      <c r="M692" s="496"/>
      <c r="N692" s="816">
        <v>0</v>
      </c>
      <c r="O692" s="496"/>
      <c r="P692" s="496"/>
      <c r="Q692" s="571"/>
      <c r="R692" s="571"/>
      <c r="S692" s="571"/>
      <c r="T692" s="571"/>
      <c r="U692" s="571"/>
      <c r="V692" s="571"/>
      <c r="W692" s="571"/>
      <c r="X692" s="571"/>
      <c r="Y692" s="571"/>
      <c r="Z692" s="571"/>
    </row>
    <row r="693" spans="1:26" ht="18.75" hidden="1">
      <c r="A693" s="567"/>
      <c r="B693" s="568"/>
      <c r="C693" s="754"/>
      <c r="D693" s="754"/>
      <c r="E693" s="754"/>
      <c r="F693" s="754" t="s">
        <v>188</v>
      </c>
      <c r="G693" s="189"/>
      <c r="H693" s="161" t="s">
        <v>12</v>
      </c>
      <c r="I693" s="269"/>
      <c r="J693" s="269"/>
      <c r="K693" s="496"/>
      <c r="L693" s="496"/>
      <c r="M693" s="496"/>
      <c r="N693" s="816">
        <v>0</v>
      </c>
      <c r="O693" s="496"/>
      <c r="P693" s="496"/>
      <c r="Q693" s="571"/>
      <c r="R693" s="571"/>
      <c r="S693" s="571"/>
      <c r="T693" s="571"/>
      <c r="U693" s="571"/>
      <c r="V693" s="571"/>
      <c r="W693" s="571"/>
      <c r="X693" s="571"/>
      <c r="Y693" s="571"/>
      <c r="Z693" s="571"/>
    </row>
    <row r="694" spans="1:26" ht="18.75" hidden="1">
      <c r="A694" s="567"/>
      <c r="B694" s="568"/>
      <c r="C694" s="754"/>
      <c r="D694" s="754"/>
      <c r="E694" s="754"/>
      <c r="F694" s="754" t="s">
        <v>189</v>
      </c>
      <c r="G694" s="189"/>
      <c r="H694" s="161" t="s">
        <v>12</v>
      </c>
      <c r="I694" s="269"/>
      <c r="J694" s="269"/>
      <c r="K694" s="496"/>
      <c r="L694" s="496"/>
      <c r="M694" s="496"/>
      <c r="N694" s="816">
        <v>0</v>
      </c>
      <c r="O694" s="496"/>
      <c r="P694" s="496"/>
      <c r="Q694" s="571"/>
      <c r="R694" s="571"/>
      <c r="S694" s="571"/>
      <c r="T694" s="571"/>
      <c r="U694" s="571"/>
      <c r="V694" s="571"/>
      <c r="W694" s="571"/>
      <c r="X694" s="571"/>
      <c r="Y694" s="571"/>
      <c r="Z694" s="571"/>
    </row>
    <row r="695" spans="1:26" ht="18.75" hidden="1">
      <c r="A695" s="590"/>
      <c r="B695" s="568"/>
      <c r="C695" s="754"/>
      <c r="D695" s="599" t="s">
        <v>21</v>
      </c>
      <c r="E695" s="754"/>
      <c r="F695" s="754"/>
      <c r="G695" s="189"/>
      <c r="H695" s="168" t="s">
        <v>12</v>
      </c>
      <c r="I695" s="184"/>
      <c r="J695" s="184"/>
      <c r="K695" s="163"/>
      <c r="L695" s="496">
        <f t="shared" ref="L695:N695" si="286">L696+L697</f>
        <v>0</v>
      </c>
      <c r="M695" s="496">
        <f t="shared" si="286"/>
        <v>0</v>
      </c>
      <c r="N695" s="496">
        <f t="shared" si="286"/>
        <v>0</v>
      </c>
      <c r="O695" s="496">
        <f t="shared" ref="O695:O697" si="287">IF(L695&gt;0,N695*100/L695,0)</f>
        <v>0</v>
      </c>
      <c r="P695" s="496">
        <f t="shared" ref="P695:P697" si="288">IF(M695&gt;0,N695*100/M695,0)</f>
        <v>0</v>
      </c>
      <c r="Q695" s="571"/>
      <c r="R695" s="571"/>
      <c r="S695" s="571"/>
      <c r="T695" s="571"/>
      <c r="U695" s="571"/>
      <c r="V695" s="571"/>
      <c r="W695" s="571"/>
      <c r="X695" s="571"/>
      <c r="Y695" s="571"/>
      <c r="Z695" s="571"/>
    </row>
    <row r="696" spans="1:26" ht="18.75" hidden="1">
      <c r="A696" s="592"/>
      <c r="B696" s="600"/>
      <c r="C696" s="750"/>
      <c r="D696" s="750"/>
      <c r="E696" s="750" t="s">
        <v>18</v>
      </c>
      <c r="F696" s="750"/>
      <c r="G696" s="596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7"/>
      <c r="R696" s="597"/>
      <c r="S696" s="597"/>
      <c r="T696" s="597"/>
      <c r="U696" s="597"/>
      <c r="V696" s="597"/>
      <c r="W696" s="597"/>
      <c r="X696" s="597"/>
      <c r="Y696" s="597"/>
      <c r="Z696" s="597"/>
    </row>
    <row r="697" spans="1:26" ht="18.75" hidden="1">
      <c r="A697" s="592"/>
      <c r="B697" s="600"/>
      <c r="C697" s="750"/>
      <c r="D697" s="750"/>
      <c r="E697" s="750" t="s">
        <v>19</v>
      </c>
      <c r="F697" s="750"/>
      <c r="G697" s="596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7"/>
      <c r="R697" s="597"/>
      <c r="S697" s="597"/>
      <c r="T697" s="597"/>
      <c r="U697" s="597"/>
      <c r="V697" s="597"/>
      <c r="W697" s="597"/>
      <c r="X697" s="597"/>
      <c r="Y697" s="597"/>
      <c r="Z697" s="597"/>
    </row>
    <row r="698" spans="1:26" ht="19.5" hidden="1">
      <c r="A698" s="601"/>
      <c r="B698" s="611"/>
      <c r="C698" s="754" t="s">
        <v>16</v>
      </c>
      <c r="D698" s="865" t="s">
        <v>38</v>
      </c>
      <c r="E698" s="752"/>
      <c r="F698" s="752"/>
      <c r="G698" s="606"/>
      <c r="H698" s="753"/>
      <c r="I698" s="184"/>
      <c r="J698" s="184"/>
      <c r="K698" s="163"/>
      <c r="L698" s="163"/>
      <c r="M698" s="163"/>
      <c r="N698" s="163"/>
      <c r="O698" s="163"/>
      <c r="P698" s="163"/>
      <c r="Q698" s="571"/>
      <c r="R698" s="571"/>
      <c r="S698" s="571"/>
      <c r="T698" s="571"/>
      <c r="U698" s="571"/>
      <c r="V698" s="571"/>
      <c r="W698" s="571"/>
      <c r="X698" s="571"/>
      <c r="Y698" s="571"/>
      <c r="Z698" s="571"/>
    </row>
    <row r="699" spans="1:26" ht="18.75" hidden="1">
      <c r="A699" s="735"/>
      <c r="B699" s="754"/>
      <c r="C699" s="754"/>
      <c r="D699" s="754" t="s">
        <v>294</v>
      </c>
      <c r="E699" s="754"/>
      <c r="F699" s="754"/>
      <c r="G699" s="189"/>
      <c r="H699" s="755" t="s">
        <v>46</v>
      </c>
      <c r="I699" s="756">
        <f ca="1">IFERROR(__xludf.DUMMYFUNCTION("IMPORTRANGE(""https://docs.google.com/spreadsheets/d/1QqKyyYR6Q21VydFLVH3TRQUabQu_ym0Zz7PgGX0-kHA/edit?usp=sharing"",""แผน!IC39"")"),0)</f>
        <v>0</v>
      </c>
      <c r="J699" s="269">
        <f ca="1">IFERROR(__xludf.DUMMYFUNCTION("IMPORTRANGE(""https://docs.google.com/spreadsheets/d/1XWAQStnk-4SwqDmLtmXYiTMKHgktTP8We1SCoS47DrQ/edit?usp=sharing"",""จัดที่ดิน!BB39"")"),0)</f>
        <v>0</v>
      </c>
      <c r="K699" s="496">
        <f t="shared" ref="K699:K701" ca="1" si="289">IF(I699&gt;0,J699*100/I699,0)</f>
        <v>0</v>
      </c>
      <c r="L699" s="496"/>
      <c r="M699" s="189"/>
      <c r="N699" s="757"/>
      <c r="O699" s="496"/>
      <c r="P699" s="496"/>
      <c r="Q699" s="571"/>
      <c r="R699" s="571"/>
      <c r="S699" s="571"/>
      <c r="T699" s="571"/>
      <c r="U699" s="571"/>
      <c r="V699" s="571"/>
      <c r="W699" s="571"/>
      <c r="X699" s="571"/>
      <c r="Y699" s="571"/>
      <c r="Z699" s="571"/>
    </row>
    <row r="700" spans="1:26" ht="18.75" hidden="1">
      <c r="A700" s="735"/>
      <c r="B700" s="754"/>
      <c r="C700" s="754"/>
      <c r="D700" s="754" t="s">
        <v>295</v>
      </c>
      <c r="E700" s="754"/>
      <c r="F700" s="754"/>
      <c r="G700" s="189"/>
      <c r="H700" s="755" t="s">
        <v>35</v>
      </c>
      <c r="I700" s="756">
        <f ca="1">IFERROR(__xludf.DUMMYFUNCTION("IMPORTRANGE(""https://docs.google.com/spreadsheets/d/1QqKyyYR6Q21VydFLVH3TRQUabQu_ym0Zz7PgGX0-kHA/edit?usp=sharing"",""แผน!ID39"")"),0)</f>
        <v>0</v>
      </c>
      <c r="J700" s="269">
        <f ca="1">IFERROR(__xludf.DUMMYFUNCTION("IMPORTRANGE(""https://docs.google.com/spreadsheets/d/1XWAQStnk-4SwqDmLtmXYiTMKHgktTP8We1SCoS47DrQ/edit?usp=sharing"",""จัดที่ดิน!BD39"")"),0)</f>
        <v>0</v>
      </c>
      <c r="K700" s="496">
        <f t="shared" ca="1" si="289"/>
        <v>0</v>
      </c>
      <c r="L700" s="496"/>
      <c r="M700" s="189"/>
      <c r="N700" s="757"/>
      <c r="O700" s="496"/>
      <c r="P700" s="496"/>
      <c r="Q700" s="571"/>
      <c r="R700" s="571"/>
      <c r="S700" s="571"/>
      <c r="T700" s="571"/>
      <c r="U700" s="571"/>
      <c r="V700" s="571"/>
      <c r="W700" s="571"/>
      <c r="X700" s="571"/>
      <c r="Y700" s="571"/>
      <c r="Z700" s="571"/>
    </row>
    <row r="701" spans="1:26" ht="19.5" hidden="1">
      <c r="A701" s="735"/>
      <c r="B701" s="754"/>
      <c r="C701" s="754"/>
      <c r="D701" s="754" t="s">
        <v>296</v>
      </c>
      <c r="E701" s="754"/>
      <c r="F701" s="754"/>
      <c r="G701" s="189"/>
      <c r="H701" s="758" t="s">
        <v>46</v>
      </c>
      <c r="I701" s="759">
        <f ca="1">IFERROR(__xludf.DUMMYFUNCTION("IMPORTRANGE(""https://docs.google.com/spreadsheets/d/1QqKyyYR6Q21VydFLVH3TRQUabQu_ym0Zz7PgGX0-kHA/edit?usp=sharing"",""แผน!IE39"")"),0)</f>
        <v>0</v>
      </c>
      <c r="J701" s="674">
        <f>J704+J707</f>
        <v>0</v>
      </c>
      <c r="K701" s="195">
        <f t="shared" ca="1" si="289"/>
        <v>0</v>
      </c>
      <c r="L701" s="496"/>
      <c r="M701" s="189"/>
      <c r="N701" s="757"/>
      <c r="O701" s="496"/>
      <c r="P701" s="496"/>
      <c r="Q701" s="571"/>
      <c r="R701" s="571"/>
      <c r="S701" s="571"/>
      <c r="T701" s="571"/>
      <c r="U701" s="571"/>
      <c r="V701" s="571"/>
      <c r="W701" s="571"/>
      <c r="X701" s="571"/>
      <c r="Y701" s="571"/>
      <c r="Z701" s="571"/>
    </row>
    <row r="702" spans="1:26" ht="18.75" hidden="1">
      <c r="A702" s="735"/>
      <c r="B702" s="754"/>
      <c r="C702" s="754"/>
      <c r="D702" s="754"/>
      <c r="E702" s="754" t="s">
        <v>297</v>
      </c>
      <c r="F702" s="754"/>
      <c r="G702" s="189"/>
      <c r="H702" s="755" t="s">
        <v>35</v>
      </c>
      <c r="I702" s="756"/>
      <c r="J702" s="214">
        <v>0</v>
      </c>
      <c r="K702" s="496"/>
      <c r="L702" s="496"/>
      <c r="M702" s="189"/>
      <c r="N702" s="757"/>
      <c r="O702" s="496"/>
      <c r="P702" s="496"/>
      <c r="Q702" s="571"/>
      <c r="R702" s="571"/>
      <c r="S702" s="571"/>
      <c r="T702" s="571"/>
      <c r="U702" s="571"/>
      <c r="V702" s="571"/>
      <c r="W702" s="571"/>
      <c r="X702" s="571"/>
      <c r="Y702" s="571"/>
      <c r="Z702" s="571"/>
    </row>
    <row r="703" spans="1:26" ht="18.75" hidden="1">
      <c r="A703" s="735"/>
      <c r="B703" s="754"/>
      <c r="C703" s="754"/>
      <c r="D703" s="754"/>
      <c r="E703" s="754"/>
      <c r="F703" s="754"/>
      <c r="G703" s="189"/>
      <c r="H703" s="755" t="s">
        <v>34</v>
      </c>
      <c r="I703" s="756"/>
      <c r="J703" s="214">
        <v>0</v>
      </c>
      <c r="K703" s="496"/>
      <c r="L703" s="496"/>
      <c r="M703" s="189"/>
      <c r="N703" s="757"/>
      <c r="O703" s="496"/>
      <c r="P703" s="496"/>
      <c r="Q703" s="571"/>
      <c r="R703" s="571"/>
      <c r="S703" s="571"/>
      <c r="T703" s="571"/>
      <c r="U703" s="571"/>
      <c r="V703" s="571"/>
      <c r="W703" s="571"/>
      <c r="X703" s="571"/>
      <c r="Y703" s="571"/>
      <c r="Z703" s="571"/>
    </row>
    <row r="704" spans="1:26" ht="18.75" hidden="1">
      <c r="A704" s="735"/>
      <c r="B704" s="754"/>
      <c r="C704" s="754"/>
      <c r="D704" s="754"/>
      <c r="E704" s="754"/>
      <c r="F704" s="754"/>
      <c r="G704" s="189"/>
      <c r="H704" s="755" t="s">
        <v>46</v>
      </c>
      <c r="I704" s="756">
        <f ca="1">IFERROR(__xludf.DUMMYFUNCTION("IMPORTRANGE(""https://docs.google.com/spreadsheets/d/1QqKyyYR6Q21VydFLVH3TRQUabQu_ym0Zz7PgGX0-kHA/edit?usp=sharing"",""แผน!IF39"")"),0)</f>
        <v>0</v>
      </c>
      <c r="J704" s="214">
        <v>0</v>
      </c>
      <c r="K704" s="496"/>
      <c r="L704" s="496"/>
      <c r="M704" s="189"/>
      <c r="N704" s="757"/>
      <c r="O704" s="496"/>
      <c r="P704" s="496"/>
      <c r="Q704" s="571"/>
      <c r="R704" s="571"/>
      <c r="S704" s="571"/>
      <c r="T704" s="571"/>
      <c r="U704" s="571"/>
      <c r="V704" s="571"/>
      <c r="W704" s="571"/>
      <c r="X704" s="571"/>
      <c r="Y704" s="571"/>
      <c r="Z704" s="571"/>
    </row>
    <row r="705" spans="1:26" ht="18.75" hidden="1">
      <c r="A705" s="735"/>
      <c r="B705" s="754"/>
      <c r="C705" s="754"/>
      <c r="D705" s="754"/>
      <c r="E705" s="754" t="s">
        <v>298</v>
      </c>
      <c r="F705" s="754"/>
      <c r="G705" s="189"/>
      <c r="H705" s="755" t="s">
        <v>35</v>
      </c>
      <c r="I705" s="756"/>
      <c r="J705" s="214">
        <v>0</v>
      </c>
      <c r="K705" s="496"/>
      <c r="L705" s="496"/>
      <c r="M705" s="189"/>
      <c r="N705" s="757"/>
      <c r="O705" s="496"/>
      <c r="P705" s="496"/>
      <c r="Q705" s="571"/>
      <c r="R705" s="571"/>
      <c r="S705" s="571"/>
      <c r="T705" s="571"/>
      <c r="U705" s="571"/>
      <c r="V705" s="571"/>
      <c r="W705" s="571"/>
      <c r="X705" s="571"/>
      <c r="Y705" s="571"/>
      <c r="Z705" s="571"/>
    </row>
    <row r="706" spans="1:26" ht="18.75" hidden="1">
      <c r="A706" s="735"/>
      <c r="B706" s="754"/>
      <c r="C706" s="754"/>
      <c r="D706" s="754"/>
      <c r="E706" s="754"/>
      <c r="F706" s="754"/>
      <c r="G706" s="189"/>
      <c r="H706" s="755" t="s">
        <v>34</v>
      </c>
      <c r="I706" s="756"/>
      <c r="J706" s="214">
        <v>0</v>
      </c>
      <c r="K706" s="496"/>
      <c r="L706" s="496"/>
      <c r="M706" s="189"/>
      <c r="N706" s="757"/>
      <c r="O706" s="496"/>
      <c r="P706" s="496"/>
      <c r="Q706" s="571"/>
      <c r="R706" s="571"/>
      <c r="S706" s="571"/>
      <c r="T706" s="571"/>
      <c r="U706" s="571"/>
      <c r="V706" s="571"/>
      <c r="W706" s="571"/>
      <c r="X706" s="571"/>
      <c r="Y706" s="571"/>
      <c r="Z706" s="571"/>
    </row>
    <row r="707" spans="1:26" ht="18.75" hidden="1">
      <c r="A707" s="735"/>
      <c r="B707" s="754"/>
      <c r="C707" s="754"/>
      <c r="D707" s="754"/>
      <c r="E707" s="754"/>
      <c r="F707" s="754"/>
      <c r="G707" s="189"/>
      <c r="H707" s="755" t="s">
        <v>46</v>
      </c>
      <c r="I707" s="756">
        <f ca="1">IFERROR(__xludf.DUMMYFUNCTION("IMPORTRANGE(""https://docs.google.com/spreadsheets/d/1QqKyyYR6Q21VydFLVH3TRQUabQu_ym0Zz7PgGX0-kHA/edit?usp=sharing"",""แผน!IG39"")"),0)</f>
        <v>0</v>
      </c>
      <c r="J707" s="214">
        <v>0</v>
      </c>
      <c r="K707" s="496"/>
      <c r="L707" s="496"/>
      <c r="M707" s="189"/>
      <c r="N707" s="757"/>
      <c r="O707" s="496"/>
      <c r="P707" s="496"/>
      <c r="Q707" s="571"/>
      <c r="R707" s="571"/>
      <c r="S707" s="571"/>
      <c r="T707" s="571"/>
      <c r="U707" s="571"/>
      <c r="V707" s="571"/>
      <c r="W707" s="571"/>
      <c r="X707" s="571"/>
      <c r="Y707" s="571"/>
      <c r="Z707" s="571"/>
    </row>
    <row r="708" spans="1:26" ht="19.5" hidden="1">
      <c r="A708" s="735"/>
      <c r="B708" s="754"/>
      <c r="C708" s="754"/>
      <c r="D708" s="760" t="s">
        <v>299</v>
      </c>
      <c r="E708" s="754"/>
      <c r="F708" s="754"/>
      <c r="G708" s="189"/>
      <c r="H708" s="758" t="s">
        <v>46</v>
      </c>
      <c r="I708" s="759">
        <f ca="1">IFERROR(__xludf.DUMMYFUNCTION("IMPORTRANGE(""https://docs.google.com/spreadsheets/d/1QqKyyYR6Q21VydFLVH3TRQUabQu_ym0Zz7PgGX0-kHA/edit?usp=sharing"",""แผน!IH39"")"),0)</f>
        <v>0</v>
      </c>
      <c r="J708" s="674">
        <f>J714+J717</f>
        <v>0</v>
      </c>
      <c r="K708" s="195">
        <f ca="1">IF(I708&gt;0,J708*100/I708,0)</f>
        <v>0</v>
      </c>
      <c r="L708" s="496"/>
      <c r="M708" s="189"/>
      <c r="N708" s="757"/>
      <c r="O708" s="496"/>
      <c r="P708" s="496"/>
      <c r="Q708" s="571"/>
      <c r="R708" s="571"/>
      <c r="S708" s="571"/>
      <c r="T708" s="571"/>
      <c r="U708" s="571"/>
      <c r="V708" s="571"/>
      <c r="W708" s="571"/>
      <c r="X708" s="571"/>
      <c r="Y708" s="571"/>
      <c r="Z708" s="571"/>
    </row>
    <row r="709" spans="1:26" ht="18.75" hidden="1">
      <c r="A709" s="735"/>
      <c r="B709" s="754"/>
      <c r="C709" s="754"/>
      <c r="D709" s="754"/>
      <c r="E709" s="754" t="s">
        <v>300</v>
      </c>
      <c r="F709" s="754"/>
      <c r="G709" s="189"/>
      <c r="H709" s="755" t="s">
        <v>34</v>
      </c>
      <c r="I709" s="756"/>
      <c r="J709" s="214">
        <v>0</v>
      </c>
      <c r="K709" s="496"/>
      <c r="L709" s="757"/>
      <c r="M709" s="189"/>
      <c r="N709" s="757"/>
      <c r="O709" s="496"/>
      <c r="P709" s="496"/>
      <c r="Q709" s="571"/>
      <c r="R709" s="571"/>
      <c r="S709" s="571"/>
      <c r="T709" s="571"/>
      <c r="U709" s="571"/>
      <c r="V709" s="571"/>
      <c r="W709" s="571"/>
      <c r="X709" s="571"/>
      <c r="Y709" s="571"/>
      <c r="Z709" s="571"/>
    </row>
    <row r="710" spans="1:26" ht="18.75" hidden="1">
      <c r="A710" s="735"/>
      <c r="B710" s="754"/>
      <c r="C710" s="754"/>
      <c r="D710" s="754"/>
      <c r="E710" s="754"/>
      <c r="F710" s="754"/>
      <c r="G710" s="189"/>
      <c r="H710" s="755" t="s">
        <v>46</v>
      </c>
      <c r="I710" s="756"/>
      <c r="J710" s="214">
        <v>0</v>
      </c>
      <c r="K710" s="496"/>
      <c r="L710" s="757"/>
      <c r="M710" s="189"/>
      <c r="N710" s="757"/>
      <c r="O710" s="496"/>
      <c r="P710" s="496"/>
      <c r="Q710" s="571"/>
      <c r="R710" s="571"/>
      <c r="S710" s="571"/>
      <c r="T710" s="571"/>
      <c r="U710" s="571"/>
      <c r="V710" s="571"/>
      <c r="W710" s="571"/>
      <c r="X710" s="571"/>
      <c r="Y710" s="571"/>
      <c r="Z710" s="571"/>
    </row>
    <row r="711" spans="1:26" ht="18.75" hidden="1">
      <c r="A711" s="735"/>
      <c r="B711" s="754"/>
      <c r="C711" s="754"/>
      <c r="D711" s="754"/>
      <c r="E711" s="754" t="s">
        <v>301</v>
      </c>
      <c r="F711" s="754"/>
      <c r="G711" s="189"/>
      <c r="H711" s="753"/>
      <c r="I711" s="756"/>
      <c r="J711" s="269"/>
      <c r="K711" s="496"/>
      <c r="L711" s="757"/>
      <c r="M711" s="189"/>
      <c r="N711" s="757"/>
      <c r="O711" s="496"/>
      <c r="P711" s="496"/>
      <c r="Q711" s="571"/>
      <c r="R711" s="571"/>
      <c r="S711" s="571"/>
      <c r="T711" s="571"/>
      <c r="U711" s="571"/>
      <c r="V711" s="571"/>
      <c r="W711" s="571"/>
      <c r="X711" s="571"/>
      <c r="Y711" s="571"/>
      <c r="Z711" s="571"/>
    </row>
    <row r="712" spans="1:26" ht="18.75" hidden="1">
      <c r="A712" s="735"/>
      <c r="B712" s="754"/>
      <c r="C712" s="754"/>
      <c r="D712" s="754"/>
      <c r="E712" s="754"/>
      <c r="F712" s="754" t="s">
        <v>302</v>
      </c>
      <c r="G712" s="189"/>
      <c r="H712" s="755" t="s">
        <v>35</v>
      </c>
      <c r="I712" s="756"/>
      <c r="J712" s="214">
        <v>0</v>
      </c>
      <c r="K712" s="496"/>
      <c r="L712" s="757"/>
      <c r="M712" s="189"/>
      <c r="N712" s="757"/>
      <c r="O712" s="496"/>
      <c r="P712" s="496"/>
      <c r="Q712" s="571"/>
      <c r="R712" s="571"/>
      <c r="S712" s="571"/>
      <c r="T712" s="571"/>
      <c r="U712" s="571"/>
      <c r="V712" s="571"/>
      <c r="W712" s="571"/>
      <c r="X712" s="571"/>
      <c r="Y712" s="571"/>
      <c r="Z712" s="571"/>
    </row>
    <row r="713" spans="1:26" ht="18.75" hidden="1">
      <c r="A713" s="735"/>
      <c r="B713" s="754"/>
      <c r="C713" s="754"/>
      <c r="D713" s="754"/>
      <c r="E713" s="754"/>
      <c r="F713" s="754"/>
      <c r="G713" s="189"/>
      <c r="H713" s="755" t="s">
        <v>34</v>
      </c>
      <c r="I713" s="756"/>
      <c r="J713" s="214">
        <v>0</v>
      </c>
      <c r="K713" s="496"/>
      <c r="L713" s="757"/>
      <c r="M713" s="189"/>
      <c r="N713" s="757"/>
      <c r="O713" s="496"/>
      <c r="P713" s="496"/>
      <c r="Q713" s="571"/>
      <c r="R713" s="571"/>
      <c r="S713" s="571"/>
      <c r="T713" s="571"/>
      <c r="U713" s="571"/>
      <c r="V713" s="571"/>
      <c r="W713" s="571"/>
      <c r="X713" s="571"/>
      <c r="Y713" s="571"/>
      <c r="Z713" s="571"/>
    </row>
    <row r="714" spans="1:26" ht="18.75" hidden="1">
      <c r="A714" s="735"/>
      <c r="B714" s="754"/>
      <c r="C714" s="754"/>
      <c r="D714" s="754"/>
      <c r="E714" s="754"/>
      <c r="F714" s="754"/>
      <c r="G714" s="189"/>
      <c r="H714" s="755" t="s">
        <v>46</v>
      </c>
      <c r="I714" s="756"/>
      <c r="J714" s="214">
        <v>0</v>
      </c>
      <c r="K714" s="496"/>
      <c r="L714" s="757"/>
      <c r="M714" s="189"/>
      <c r="N714" s="757"/>
      <c r="O714" s="496"/>
      <c r="P714" s="496"/>
      <c r="Q714" s="571"/>
      <c r="R714" s="571"/>
      <c r="S714" s="571"/>
      <c r="T714" s="571"/>
      <c r="U714" s="571"/>
      <c r="V714" s="571"/>
      <c r="W714" s="571"/>
      <c r="X714" s="571"/>
      <c r="Y714" s="571"/>
      <c r="Z714" s="571"/>
    </row>
    <row r="715" spans="1:26" ht="18.75" hidden="1">
      <c r="A715" s="735"/>
      <c r="B715" s="754"/>
      <c r="C715" s="754"/>
      <c r="D715" s="754"/>
      <c r="E715" s="754"/>
      <c r="F715" s="754" t="s">
        <v>303</v>
      </c>
      <c r="G715" s="189"/>
      <c r="H715" s="755" t="s">
        <v>35</v>
      </c>
      <c r="I715" s="756"/>
      <c r="J715" s="214">
        <v>0</v>
      </c>
      <c r="K715" s="496"/>
      <c r="L715" s="757"/>
      <c r="M715" s="189"/>
      <c r="N715" s="757"/>
      <c r="O715" s="496"/>
      <c r="P715" s="496"/>
      <c r="Q715" s="571"/>
      <c r="R715" s="571"/>
      <c r="S715" s="571"/>
      <c r="T715" s="571"/>
      <c r="U715" s="571"/>
      <c r="V715" s="571"/>
      <c r="W715" s="571"/>
      <c r="X715" s="571"/>
      <c r="Y715" s="571"/>
      <c r="Z715" s="571"/>
    </row>
    <row r="716" spans="1:26" ht="18.75" hidden="1">
      <c r="A716" s="735"/>
      <c r="B716" s="754"/>
      <c r="C716" s="754"/>
      <c r="D716" s="754"/>
      <c r="E716" s="754"/>
      <c r="F716" s="754"/>
      <c r="G716" s="189"/>
      <c r="H716" s="755" t="s">
        <v>34</v>
      </c>
      <c r="I716" s="756"/>
      <c r="J716" s="214">
        <v>0</v>
      </c>
      <c r="K716" s="496"/>
      <c r="L716" s="757"/>
      <c r="M716" s="189"/>
      <c r="N716" s="757"/>
      <c r="O716" s="496"/>
      <c r="P716" s="496"/>
      <c r="Q716" s="571"/>
      <c r="R716" s="571"/>
      <c r="S716" s="571"/>
      <c r="T716" s="571"/>
      <c r="U716" s="571"/>
      <c r="V716" s="571"/>
      <c r="W716" s="571"/>
      <c r="X716" s="571"/>
      <c r="Y716" s="571"/>
      <c r="Z716" s="571"/>
    </row>
    <row r="717" spans="1:26" ht="18.75" hidden="1">
      <c r="A717" s="735"/>
      <c r="B717" s="754"/>
      <c r="C717" s="754"/>
      <c r="D717" s="754"/>
      <c r="E717" s="754"/>
      <c r="F717" s="754"/>
      <c r="G717" s="189"/>
      <c r="H717" s="755" t="s">
        <v>46</v>
      </c>
      <c r="I717" s="756"/>
      <c r="J717" s="214">
        <v>0</v>
      </c>
      <c r="K717" s="496"/>
      <c r="L717" s="757"/>
      <c r="M717" s="189"/>
      <c r="N717" s="757"/>
      <c r="O717" s="496"/>
      <c r="P717" s="496"/>
      <c r="Q717" s="571"/>
      <c r="R717" s="571"/>
      <c r="S717" s="571"/>
      <c r="T717" s="571"/>
      <c r="U717" s="571"/>
      <c r="V717" s="571"/>
      <c r="W717" s="571"/>
      <c r="X717" s="571"/>
      <c r="Y717" s="571"/>
      <c r="Z717" s="571"/>
    </row>
    <row r="718" spans="1:26" ht="18.75" hidden="1">
      <c r="A718" s="735"/>
      <c r="B718" s="754"/>
      <c r="C718" s="754"/>
      <c r="D718" s="754" t="s">
        <v>304</v>
      </c>
      <c r="E718" s="754"/>
      <c r="F718" s="754"/>
      <c r="G718" s="189"/>
      <c r="H718" s="755" t="s">
        <v>35</v>
      </c>
      <c r="I718" s="756"/>
      <c r="J718" s="269">
        <f ca="1">IFERROR(__xludf.DUMMYFUNCTION("IMPORTRANGE(""https://docs.google.com/spreadsheets/d/1XWAQStnk-4SwqDmLtmXYiTMKHgktTP8We1SCoS47DrQ/edit?usp=sharing"",""จัดที่ดิน!BF39"")"),0)</f>
        <v>0</v>
      </c>
      <c r="K718" s="496"/>
      <c r="L718" s="496"/>
      <c r="M718" s="189"/>
      <c r="N718" s="757"/>
      <c r="O718" s="496"/>
      <c r="P718" s="496"/>
      <c r="Q718" s="571"/>
      <c r="R718" s="571"/>
      <c r="S718" s="571"/>
      <c r="T718" s="571"/>
      <c r="U718" s="571"/>
      <c r="V718" s="571"/>
      <c r="W718" s="571"/>
      <c r="X718" s="571"/>
      <c r="Y718" s="571"/>
      <c r="Z718" s="571"/>
    </row>
    <row r="719" spans="1:26" ht="18.75" hidden="1">
      <c r="A719" s="735"/>
      <c r="B719" s="754"/>
      <c r="C719" s="754"/>
      <c r="D719" s="754"/>
      <c r="E719" s="754"/>
      <c r="F719" s="754"/>
      <c r="G719" s="189"/>
      <c r="H719" s="755" t="s">
        <v>34</v>
      </c>
      <c r="I719" s="756"/>
      <c r="J719" s="269">
        <f ca="1">IFERROR(__xludf.DUMMYFUNCTION("IMPORTRANGE(""https://docs.google.com/spreadsheets/d/1XWAQStnk-4SwqDmLtmXYiTMKHgktTP8We1SCoS47DrQ/edit?usp=sharing"",""จัดที่ดิน!BG39"")"),0)</f>
        <v>0</v>
      </c>
      <c r="K719" s="496"/>
      <c r="L719" s="757"/>
      <c r="M719" s="189"/>
      <c r="N719" s="757"/>
      <c r="O719" s="496"/>
      <c r="P719" s="496"/>
      <c r="Q719" s="571"/>
      <c r="R719" s="571"/>
      <c r="S719" s="571"/>
      <c r="T719" s="571"/>
      <c r="U719" s="571"/>
      <c r="V719" s="571"/>
      <c r="W719" s="571"/>
      <c r="X719" s="571"/>
      <c r="Y719" s="571"/>
      <c r="Z719" s="571"/>
    </row>
    <row r="720" spans="1:26" ht="18.75" hidden="1">
      <c r="A720" s="735"/>
      <c r="B720" s="754"/>
      <c r="C720" s="754"/>
      <c r="D720" s="754"/>
      <c r="E720" s="754"/>
      <c r="F720" s="754"/>
      <c r="G720" s="189"/>
      <c r="H720" s="755" t="s">
        <v>46</v>
      </c>
      <c r="I720" s="756">
        <f ca="1">IFERROR(__xludf.DUMMYFUNCTION("IMPORTRANGE(""https://docs.google.com/spreadsheets/d/1QqKyyYR6Q21VydFLVH3TRQUabQu_ym0Zz7PgGX0-kHA/edit?usp=sharing"",""แผน!II39"")"),0)</f>
        <v>0</v>
      </c>
      <c r="J720" s="269">
        <f ca="1">IFERROR(__xludf.DUMMYFUNCTION("IMPORTRANGE(""https://docs.google.com/spreadsheets/d/1XWAQStnk-4SwqDmLtmXYiTMKHgktTP8We1SCoS47DrQ/edit?usp=sharing"",""จัดที่ดิน!BH39"")"),0)</f>
        <v>0</v>
      </c>
      <c r="K720" s="496">
        <f t="shared" ref="K720:K723" ca="1" si="290">IF(I720&gt;0,J720*100/I720,0)</f>
        <v>0</v>
      </c>
      <c r="L720" s="757"/>
      <c r="M720" s="189"/>
      <c r="N720" s="757"/>
      <c r="O720" s="496"/>
      <c r="P720" s="496"/>
      <c r="Q720" s="571"/>
      <c r="R720" s="571"/>
      <c r="S720" s="571"/>
      <c r="T720" s="571"/>
      <c r="U720" s="571"/>
      <c r="V720" s="571"/>
      <c r="W720" s="571"/>
      <c r="X720" s="571"/>
      <c r="Y720" s="571"/>
      <c r="Z720" s="571"/>
    </row>
    <row r="721" spans="1:26" ht="19.5" hidden="1">
      <c r="A721" s="735"/>
      <c r="B721" s="754"/>
      <c r="C721" s="754"/>
      <c r="D721" s="754" t="s">
        <v>305</v>
      </c>
      <c r="E721" s="754"/>
      <c r="F721" s="754"/>
      <c r="G721" s="189"/>
      <c r="H721" s="758" t="s">
        <v>35</v>
      </c>
      <c r="I721" s="759">
        <f ca="1">IFERROR(__xludf.DUMMYFUNCTION("IMPORTRANGE(""https://docs.google.com/spreadsheets/d/1QqKyyYR6Q21VydFLVH3TRQUabQu_ym0Zz7PgGX0-kHA/edit?usp=sharing"",""แผน!IJ39"")"),0)</f>
        <v>0</v>
      </c>
      <c r="J721" s="674">
        <f ca="1">J723+J726</f>
        <v>0</v>
      </c>
      <c r="K721" s="195">
        <f t="shared" ca="1" si="290"/>
        <v>0</v>
      </c>
      <c r="L721" s="757"/>
      <c r="M721" s="189"/>
      <c r="N721" s="757"/>
      <c r="O721" s="496"/>
      <c r="P721" s="496"/>
      <c r="Q721" s="571"/>
      <c r="R721" s="571"/>
      <c r="S721" s="571"/>
      <c r="T721" s="571"/>
      <c r="U721" s="571"/>
      <c r="V721" s="571"/>
      <c r="W721" s="571"/>
      <c r="X721" s="571"/>
      <c r="Y721" s="571"/>
      <c r="Z721" s="571"/>
    </row>
    <row r="722" spans="1:26" ht="19.5" hidden="1">
      <c r="A722" s="735"/>
      <c r="B722" s="754"/>
      <c r="C722" s="754"/>
      <c r="D722" s="754"/>
      <c r="E722" s="754"/>
      <c r="F722" s="754"/>
      <c r="G722" s="189"/>
      <c r="H722" s="758" t="s">
        <v>46</v>
      </c>
      <c r="I722" s="759">
        <f ca="1">IFERROR(__xludf.DUMMYFUNCTION("IMPORTRANGE(""https://docs.google.com/spreadsheets/d/1QqKyyYR6Q21VydFLVH3TRQUabQu_ym0Zz7PgGX0-kHA/edit?usp=sharing"",""แผน!IK39"")"),0)</f>
        <v>0</v>
      </c>
      <c r="J722" s="674">
        <f ca="1">J725+J728</f>
        <v>0</v>
      </c>
      <c r="K722" s="195">
        <f t="shared" ca="1" si="290"/>
        <v>0</v>
      </c>
      <c r="L722" s="496"/>
      <c r="M722" s="189"/>
      <c r="N722" s="757"/>
      <c r="O722" s="496"/>
      <c r="P722" s="496"/>
      <c r="Q722" s="571"/>
      <c r="R722" s="571"/>
      <c r="S722" s="571"/>
      <c r="T722" s="571"/>
      <c r="U722" s="571"/>
      <c r="V722" s="571"/>
      <c r="W722" s="571"/>
      <c r="X722" s="571"/>
      <c r="Y722" s="571"/>
      <c r="Z722" s="571"/>
    </row>
    <row r="723" spans="1:26" ht="18.75" hidden="1">
      <c r="A723" s="735"/>
      <c r="B723" s="754"/>
      <c r="C723" s="754"/>
      <c r="D723" s="754"/>
      <c r="E723" s="754" t="s">
        <v>306</v>
      </c>
      <c r="F723" s="754"/>
      <c r="G723" s="189"/>
      <c r="H723" s="755" t="s">
        <v>35</v>
      </c>
      <c r="I723" s="756">
        <f ca="1">IFERROR(__xludf.DUMMYFUNCTION("IMPORTRANGE(""https://docs.google.com/spreadsheets/d/1QqKyyYR6Q21VydFLVH3TRQUabQu_ym0Zz7PgGX0-kHA/edit?usp=sharing"",""แผน!IL39"")"),0)</f>
        <v>0</v>
      </c>
      <c r="J723" s="269">
        <f ca="1">IFERROR(__xludf.DUMMYFUNCTION("IMPORTRANGE(""https://docs.google.com/spreadsheets/d/1XWAQStnk-4SwqDmLtmXYiTMKHgktTP8We1SCoS47DrQ/edit?usp=sharing"",""จัดที่ดิน!BM39"")"),0)</f>
        <v>0</v>
      </c>
      <c r="K723" s="496">
        <f t="shared" ca="1" si="290"/>
        <v>0</v>
      </c>
      <c r="L723" s="496"/>
      <c r="M723" s="189"/>
      <c r="N723" s="757"/>
      <c r="O723" s="496"/>
      <c r="P723" s="496"/>
      <c r="Q723" s="571"/>
      <c r="R723" s="571"/>
      <c r="S723" s="571"/>
      <c r="T723" s="571"/>
      <c r="U723" s="571"/>
      <c r="V723" s="571"/>
      <c r="W723" s="571"/>
      <c r="X723" s="571"/>
      <c r="Y723" s="571"/>
      <c r="Z723" s="571"/>
    </row>
    <row r="724" spans="1:26" ht="18.75" hidden="1">
      <c r="A724" s="735"/>
      <c r="B724" s="754"/>
      <c r="C724" s="754"/>
      <c r="D724" s="754"/>
      <c r="E724" s="754"/>
      <c r="F724" s="754"/>
      <c r="G724" s="189"/>
      <c r="H724" s="755" t="s">
        <v>34</v>
      </c>
      <c r="I724" s="756"/>
      <c r="J724" s="269">
        <f ca="1">IFERROR(__xludf.DUMMYFUNCTION("IMPORTRANGE(""https://docs.google.com/spreadsheets/d/1XWAQStnk-4SwqDmLtmXYiTMKHgktTP8We1SCoS47DrQ/edit?usp=sharing"",""จัดที่ดิน!BN39"")"),0)</f>
        <v>0</v>
      </c>
      <c r="K724" s="496"/>
      <c r="L724" s="757"/>
      <c r="M724" s="189"/>
      <c r="N724" s="757"/>
      <c r="O724" s="496"/>
      <c r="P724" s="496"/>
      <c r="Q724" s="571"/>
      <c r="R724" s="571"/>
      <c r="S724" s="571"/>
      <c r="T724" s="571"/>
      <c r="U724" s="571"/>
      <c r="V724" s="571"/>
      <c r="W724" s="571"/>
      <c r="X724" s="571"/>
      <c r="Y724" s="571"/>
      <c r="Z724" s="571"/>
    </row>
    <row r="725" spans="1:26" ht="18.75" hidden="1">
      <c r="A725" s="735"/>
      <c r="B725" s="754"/>
      <c r="C725" s="754"/>
      <c r="D725" s="754"/>
      <c r="E725" s="754"/>
      <c r="F725" s="754"/>
      <c r="G725" s="189"/>
      <c r="H725" s="755" t="s">
        <v>46</v>
      </c>
      <c r="I725" s="756">
        <f ca="1">IFERROR(__xludf.DUMMYFUNCTION("IMPORTRANGE(""https://docs.google.com/spreadsheets/d/1QqKyyYR6Q21VydFLVH3TRQUabQu_ym0Zz7PgGX0-kHA/edit?usp=sharing"",""แผน!IM39"")"),0)</f>
        <v>0</v>
      </c>
      <c r="J725" s="269">
        <f ca="1">IFERROR(__xludf.DUMMYFUNCTION("IMPORTRANGE(""https://docs.google.com/spreadsheets/d/1XWAQStnk-4SwqDmLtmXYiTMKHgktTP8We1SCoS47DrQ/edit?usp=sharing"",""จัดที่ดิน!BO39"")"),0)</f>
        <v>0</v>
      </c>
      <c r="K725" s="496">
        <f t="shared" ref="K725:K726" ca="1" si="291">IF(I725&gt;0,J725*100/I725,0)</f>
        <v>0</v>
      </c>
      <c r="L725" s="757"/>
      <c r="M725" s="189"/>
      <c r="N725" s="757"/>
      <c r="O725" s="496"/>
      <c r="P725" s="496"/>
      <c r="Q725" s="571"/>
      <c r="R725" s="571"/>
      <c r="S725" s="571"/>
      <c r="T725" s="571"/>
      <c r="U725" s="571"/>
      <c r="V725" s="571"/>
      <c r="W725" s="571"/>
      <c r="X725" s="571"/>
      <c r="Y725" s="571"/>
      <c r="Z725" s="571"/>
    </row>
    <row r="726" spans="1:26" ht="18.75" hidden="1">
      <c r="A726" s="735"/>
      <c r="B726" s="754"/>
      <c r="C726" s="754"/>
      <c r="D726" s="754"/>
      <c r="E726" s="754" t="s">
        <v>307</v>
      </c>
      <c r="F726" s="754"/>
      <c r="G726" s="189"/>
      <c r="H726" s="755" t="s">
        <v>35</v>
      </c>
      <c r="I726" s="756">
        <f ca="1">IFERROR(__xludf.DUMMYFUNCTION("IMPORTRANGE(""https://docs.google.com/spreadsheets/d/1QqKyyYR6Q21VydFLVH3TRQUabQu_ym0Zz7PgGX0-kHA/edit?usp=sharing"",""แผน!IN39"")"),0)</f>
        <v>0</v>
      </c>
      <c r="J726" s="269">
        <f ca="1">IFERROR(__xludf.DUMMYFUNCTION("IMPORTRANGE(""https://docs.google.com/spreadsheets/d/1XWAQStnk-4SwqDmLtmXYiTMKHgktTP8We1SCoS47DrQ/edit?usp=sharing"",""จัดที่ดิน!BR39"")"),0)</f>
        <v>0</v>
      </c>
      <c r="K726" s="496">
        <f t="shared" ca="1" si="291"/>
        <v>0</v>
      </c>
      <c r="L726" s="496"/>
      <c r="M726" s="189"/>
      <c r="N726" s="757"/>
      <c r="O726" s="496"/>
      <c r="P726" s="496"/>
      <c r="Q726" s="571"/>
      <c r="R726" s="571"/>
      <c r="S726" s="571"/>
      <c r="T726" s="571"/>
      <c r="U726" s="571"/>
      <c r="V726" s="571"/>
      <c r="W726" s="571"/>
      <c r="X726" s="571"/>
      <c r="Y726" s="571"/>
      <c r="Z726" s="571"/>
    </row>
    <row r="727" spans="1:26" ht="18.75" hidden="1">
      <c r="A727" s="735"/>
      <c r="B727" s="754"/>
      <c r="C727" s="754"/>
      <c r="D727" s="754"/>
      <c r="E727" s="754"/>
      <c r="F727" s="754"/>
      <c r="G727" s="189"/>
      <c r="H727" s="755" t="s">
        <v>34</v>
      </c>
      <c r="I727" s="756"/>
      <c r="J727" s="269">
        <f ca="1">IFERROR(__xludf.DUMMYFUNCTION("IMPORTRANGE(""https://docs.google.com/spreadsheets/d/1XWAQStnk-4SwqDmLtmXYiTMKHgktTP8We1SCoS47DrQ/edit?usp=sharing"",""จัดที่ดิน!BS39"")"),0)</f>
        <v>0</v>
      </c>
      <c r="K727" s="496"/>
      <c r="L727" s="757"/>
      <c r="M727" s="189"/>
      <c r="N727" s="757"/>
      <c r="O727" s="496"/>
      <c r="P727" s="496"/>
      <c r="Q727" s="571"/>
      <c r="R727" s="571"/>
      <c r="S727" s="571"/>
      <c r="T727" s="571"/>
      <c r="U727" s="571"/>
      <c r="V727" s="571"/>
      <c r="W727" s="571"/>
      <c r="X727" s="571"/>
      <c r="Y727" s="571"/>
      <c r="Z727" s="571"/>
    </row>
    <row r="728" spans="1:26" ht="18.75" hidden="1">
      <c r="A728" s="735"/>
      <c r="B728" s="754"/>
      <c r="C728" s="754"/>
      <c r="D728" s="754"/>
      <c r="E728" s="754"/>
      <c r="F728" s="754"/>
      <c r="G728" s="189"/>
      <c r="H728" s="755" t="s">
        <v>46</v>
      </c>
      <c r="I728" s="756">
        <f ca="1">IFERROR(__xludf.DUMMYFUNCTION("IMPORTRANGE(""https://docs.google.com/spreadsheets/d/1QqKyyYR6Q21VydFLVH3TRQUabQu_ym0Zz7PgGX0-kHA/edit?usp=sharing"",""แผน!IO39"")"),0)</f>
        <v>0</v>
      </c>
      <c r="J728" s="269">
        <f ca="1">IFERROR(__xludf.DUMMYFUNCTION("IMPORTRANGE(""https://docs.google.com/spreadsheets/d/1XWAQStnk-4SwqDmLtmXYiTMKHgktTP8We1SCoS47DrQ/edit?usp=sharing"",""จัดที่ดิน!BT39"")"),0)</f>
        <v>0</v>
      </c>
      <c r="K728" s="496">
        <f t="shared" ref="K728:K729" ca="1" si="292">IF(I728&gt;0,J728*100/I728,0)</f>
        <v>0</v>
      </c>
      <c r="L728" s="757"/>
      <c r="M728" s="189"/>
      <c r="N728" s="757"/>
      <c r="O728" s="496"/>
      <c r="P728" s="496"/>
      <c r="Q728" s="571"/>
      <c r="R728" s="571"/>
      <c r="S728" s="571"/>
      <c r="T728" s="571"/>
      <c r="U728" s="571"/>
      <c r="V728" s="571"/>
      <c r="W728" s="571"/>
      <c r="X728" s="571"/>
      <c r="Y728" s="571"/>
      <c r="Z728" s="571"/>
    </row>
    <row r="729" spans="1:26" ht="19.5" hidden="1">
      <c r="A729" s="735"/>
      <c r="B729" s="754"/>
      <c r="C729" s="754"/>
      <c r="D729" s="754" t="s">
        <v>308</v>
      </c>
      <c r="E729" s="754"/>
      <c r="F729" s="754"/>
      <c r="G729" s="189"/>
      <c r="H729" s="758" t="s">
        <v>46</v>
      </c>
      <c r="I729" s="759">
        <f ca="1">IFERROR(__xludf.DUMMYFUNCTION("IMPORTRANGE(""https://docs.google.com/spreadsheets/d/1QqKyyYR6Q21VydFLVH3TRQUabQu_ym0Zz7PgGX0-kHA/edit?usp=sharing"",""แผน!IP39"")"),0)</f>
        <v>0</v>
      </c>
      <c r="J729" s="674">
        <f>J732+J735</f>
        <v>0</v>
      </c>
      <c r="K729" s="195">
        <f t="shared" ca="1" si="292"/>
        <v>0</v>
      </c>
      <c r="L729" s="496"/>
      <c r="M729" s="189"/>
      <c r="N729" s="757"/>
      <c r="O729" s="496"/>
      <c r="P729" s="496"/>
      <c r="Q729" s="571"/>
      <c r="R729" s="571"/>
      <c r="S729" s="571"/>
      <c r="T729" s="571"/>
      <c r="U729" s="571"/>
      <c r="V729" s="571"/>
      <c r="W729" s="571"/>
      <c r="X729" s="571"/>
      <c r="Y729" s="571"/>
      <c r="Z729" s="571"/>
    </row>
    <row r="730" spans="1:26" ht="18.75" hidden="1">
      <c r="A730" s="735"/>
      <c r="B730" s="754"/>
      <c r="C730" s="754"/>
      <c r="D730" s="754"/>
      <c r="E730" s="754" t="s">
        <v>309</v>
      </c>
      <c r="F730" s="754"/>
      <c r="G730" s="189"/>
      <c r="H730" s="755" t="s">
        <v>35</v>
      </c>
      <c r="I730" s="756"/>
      <c r="J730" s="214">
        <v>0</v>
      </c>
      <c r="K730" s="496"/>
      <c r="L730" s="757"/>
      <c r="M730" s="496"/>
      <c r="N730" s="757"/>
      <c r="O730" s="496"/>
      <c r="P730" s="496"/>
      <c r="Q730" s="571"/>
      <c r="R730" s="571"/>
      <c r="S730" s="571"/>
      <c r="T730" s="571"/>
      <c r="U730" s="571"/>
      <c r="V730" s="571"/>
      <c r="W730" s="571"/>
      <c r="X730" s="571"/>
      <c r="Y730" s="571"/>
      <c r="Z730" s="571"/>
    </row>
    <row r="731" spans="1:26" ht="18.75" hidden="1">
      <c r="A731" s="735"/>
      <c r="B731" s="754"/>
      <c r="C731" s="754"/>
      <c r="D731" s="754"/>
      <c r="E731" s="754"/>
      <c r="F731" s="754"/>
      <c r="G731" s="189"/>
      <c r="H731" s="755" t="s">
        <v>34</v>
      </c>
      <c r="I731" s="756"/>
      <c r="J731" s="214">
        <v>0</v>
      </c>
      <c r="K731" s="496"/>
      <c r="L731" s="757"/>
      <c r="M731" s="496"/>
      <c r="N731" s="757"/>
      <c r="O731" s="496"/>
      <c r="P731" s="496"/>
      <c r="Q731" s="571"/>
      <c r="R731" s="571"/>
      <c r="S731" s="571"/>
      <c r="T731" s="571"/>
      <c r="U731" s="571"/>
      <c r="V731" s="571"/>
      <c r="W731" s="571"/>
      <c r="X731" s="571"/>
      <c r="Y731" s="571"/>
      <c r="Z731" s="571"/>
    </row>
    <row r="732" spans="1:26" ht="18.75" hidden="1">
      <c r="A732" s="735"/>
      <c r="B732" s="754"/>
      <c r="C732" s="754"/>
      <c r="D732" s="754"/>
      <c r="E732" s="754"/>
      <c r="F732" s="754"/>
      <c r="G732" s="189"/>
      <c r="H732" s="755" t="s">
        <v>46</v>
      </c>
      <c r="I732" s="756"/>
      <c r="J732" s="214">
        <v>0</v>
      </c>
      <c r="K732" s="496"/>
      <c r="L732" s="757"/>
      <c r="M732" s="496"/>
      <c r="N732" s="757"/>
      <c r="O732" s="496"/>
      <c r="P732" s="496"/>
      <c r="Q732" s="571"/>
      <c r="R732" s="571"/>
      <c r="S732" s="571"/>
      <c r="T732" s="571"/>
      <c r="U732" s="571"/>
      <c r="V732" s="571"/>
      <c r="W732" s="571"/>
      <c r="X732" s="571"/>
      <c r="Y732" s="571"/>
      <c r="Z732" s="571"/>
    </row>
    <row r="733" spans="1:26" ht="18.75" hidden="1">
      <c r="A733" s="735"/>
      <c r="B733" s="754"/>
      <c r="C733" s="754"/>
      <c r="D733" s="754"/>
      <c r="E733" s="754" t="s">
        <v>310</v>
      </c>
      <c r="F733" s="754"/>
      <c r="G733" s="189"/>
      <c r="H733" s="755" t="s">
        <v>35</v>
      </c>
      <c r="I733" s="756"/>
      <c r="J733" s="214">
        <v>0</v>
      </c>
      <c r="K733" s="496"/>
      <c r="L733" s="757"/>
      <c r="M733" s="496"/>
      <c r="N733" s="757"/>
      <c r="O733" s="496"/>
      <c r="P733" s="496"/>
      <c r="Q733" s="571"/>
      <c r="R733" s="571"/>
      <c r="S733" s="571"/>
      <c r="T733" s="571"/>
      <c r="U733" s="571"/>
      <c r="V733" s="571"/>
      <c r="W733" s="571"/>
      <c r="X733" s="571"/>
      <c r="Y733" s="571"/>
      <c r="Z733" s="571"/>
    </row>
    <row r="734" spans="1:26" ht="18.75" hidden="1">
      <c r="A734" s="735"/>
      <c r="B734" s="754"/>
      <c r="C734" s="754"/>
      <c r="D734" s="754"/>
      <c r="E734" s="754"/>
      <c r="F734" s="754"/>
      <c r="G734" s="189"/>
      <c r="H734" s="755" t="s">
        <v>34</v>
      </c>
      <c r="I734" s="756"/>
      <c r="J734" s="214">
        <v>0</v>
      </c>
      <c r="K734" s="496"/>
      <c r="L734" s="757"/>
      <c r="M734" s="496"/>
      <c r="N734" s="757"/>
      <c r="O734" s="496"/>
      <c r="P734" s="496"/>
      <c r="Q734" s="571"/>
      <c r="R734" s="571"/>
      <c r="S734" s="571"/>
      <c r="T734" s="571"/>
      <c r="U734" s="571"/>
      <c r="V734" s="571"/>
      <c r="W734" s="571"/>
      <c r="X734" s="571"/>
      <c r="Y734" s="571"/>
      <c r="Z734" s="571"/>
    </row>
    <row r="735" spans="1:26" ht="19.5" hidden="1">
      <c r="A735" s="761"/>
      <c r="B735" s="762" t="s">
        <v>311</v>
      </c>
      <c r="C735" s="725"/>
      <c r="D735" s="725"/>
      <c r="E735" s="725"/>
      <c r="F735" s="725"/>
      <c r="G735" s="726"/>
      <c r="H735" s="421" t="s">
        <v>46</v>
      </c>
      <c r="I735" s="763"/>
      <c r="J735" s="423">
        <v>0</v>
      </c>
      <c r="K735" s="500"/>
      <c r="L735" s="764"/>
      <c r="M735" s="500"/>
      <c r="N735" s="764"/>
      <c r="O735" s="500"/>
      <c r="P735" s="500"/>
      <c r="Q735" s="571"/>
      <c r="R735" s="571"/>
      <c r="S735" s="571"/>
      <c r="T735" s="571"/>
      <c r="U735" s="571"/>
      <c r="V735" s="571"/>
      <c r="W735" s="571"/>
      <c r="X735" s="571"/>
      <c r="Y735" s="571"/>
      <c r="Z735" s="571"/>
    </row>
    <row r="736" spans="1:26" ht="19.5" hidden="1">
      <c r="A736" s="765">
        <v>9</v>
      </c>
      <c r="B736" s="766" t="s">
        <v>312</v>
      </c>
      <c r="C736" s="767"/>
      <c r="D736" s="767"/>
      <c r="E736" s="767"/>
      <c r="F736" s="767"/>
      <c r="G736" s="768"/>
      <c r="H736" s="769" t="s">
        <v>46</v>
      </c>
      <c r="I736" s="770"/>
      <c r="J736" s="770">
        <f>J751</f>
        <v>0</v>
      </c>
      <c r="K736" s="771">
        <f>IF(I736&gt;0,J736*100/I736,0)</f>
        <v>0</v>
      </c>
      <c r="L736" s="772"/>
      <c r="M736" s="772"/>
      <c r="N736" s="772"/>
      <c r="O736" s="772"/>
      <c r="P736" s="772"/>
      <c r="Q736" s="597"/>
      <c r="R736" s="597"/>
      <c r="S736" s="597"/>
      <c r="T736" s="597"/>
      <c r="U736" s="597"/>
      <c r="V736" s="597"/>
      <c r="W736" s="597"/>
      <c r="X736" s="597"/>
      <c r="Y736" s="597"/>
      <c r="Z736" s="597"/>
    </row>
    <row r="737" spans="1:26" ht="19.5" hidden="1">
      <c r="A737" s="592"/>
      <c r="B737" s="750"/>
      <c r="C737" s="750" t="s">
        <v>16</v>
      </c>
      <c r="D737" s="839" t="s">
        <v>17</v>
      </c>
      <c r="E737" s="832"/>
      <c r="F737" s="832"/>
      <c r="G737" s="596"/>
      <c r="H737" s="639" t="s">
        <v>12</v>
      </c>
      <c r="I737" s="610"/>
      <c r="J737" s="610"/>
      <c r="K737" s="93"/>
      <c r="L737" s="640">
        <f t="shared" ref="L737:N737" si="293">L738+L739</f>
        <v>0</v>
      </c>
      <c r="M737" s="640">
        <f t="shared" si="293"/>
        <v>0</v>
      </c>
      <c r="N737" s="640">
        <f t="shared" si="293"/>
        <v>0</v>
      </c>
      <c r="O737" s="640">
        <f t="shared" ref="O737:O742" si="294">IF(L737&gt;0,N737*100/L737,0)</f>
        <v>0</v>
      </c>
      <c r="P737" s="640">
        <f t="shared" ref="P737:P742" si="295">IF(M737&gt;0,N737*100/M737,0)</f>
        <v>0</v>
      </c>
      <c r="Q737" s="597"/>
      <c r="R737" s="597"/>
      <c r="S737" s="597"/>
      <c r="T737" s="597"/>
      <c r="U737" s="597"/>
      <c r="V737" s="597"/>
      <c r="W737" s="597"/>
      <c r="X737" s="597"/>
      <c r="Y737" s="597"/>
      <c r="Z737" s="597"/>
    </row>
    <row r="738" spans="1:26" ht="18.75" hidden="1">
      <c r="A738" s="592"/>
      <c r="B738" s="750"/>
      <c r="C738" s="750"/>
      <c r="D738" s="711"/>
      <c r="E738" s="750" t="s">
        <v>184</v>
      </c>
      <c r="F738" s="750"/>
      <c r="G738" s="596"/>
      <c r="H738" s="165" t="s">
        <v>12</v>
      </c>
      <c r="I738" s="610"/>
      <c r="J738" s="610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7"/>
      <c r="R738" s="597"/>
      <c r="S738" s="597"/>
      <c r="T738" s="597"/>
      <c r="U738" s="597"/>
      <c r="V738" s="597"/>
      <c r="W738" s="597"/>
      <c r="X738" s="597"/>
      <c r="Y738" s="597"/>
      <c r="Z738" s="597"/>
    </row>
    <row r="739" spans="1:26" ht="18.75" hidden="1">
      <c r="A739" s="592"/>
      <c r="B739" s="600"/>
      <c r="C739" s="750"/>
      <c r="D739" s="711"/>
      <c r="E739" s="750" t="s">
        <v>185</v>
      </c>
      <c r="F739" s="750"/>
      <c r="G739" s="596"/>
      <c r="H739" s="165" t="s">
        <v>12</v>
      </c>
      <c r="I739" s="610"/>
      <c r="J739" s="610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7"/>
      <c r="R739" s="597"/>
      <c r="S739" s="597"/>
      <c r="T739" s="597"/>
      <c r="U739" s="597"/>
      <c r="V739" s="597"/>
      <c r="W739" s="597"/>
      <c r="X739" s="597"/>
      <c r="Y739" s="597"/>
      <c r="Z739" s="597"/>
    </row>
    <row r="740" spans="1:26" ht="19.5" hidden="1">
      <c r="A740" s="592"/>
      <c r="B740" s="600"/>
      <c r="C740" s="750"/>
      <c r="D740" s="638" t="s">
        <v>20</v>
      </c>
      <c r="E740" s="750"/>
      <c r="F740" s="750"/>
      <c r="G740" s="596"/>
      <c r="H740" s="639" t="s">
        <v>12</v>
      </c>
      <c r="I740" s="166"/>
      <c r="J740" s="166"/>
      <c r="K740" s="167"/>
      <c r="L740" s="640">
        <f t="shared" ref="L740:N740" si="297">L741+L742</f>
        <v>0</v>
      </c>
      <c r="M740" s="640">
        <f t="shared" si="297"/>
        <v>0</v>
      </c>
      <c r="N740" s="640">
        <f t="shared" si="297"/>
        <v>0</v>
      </c>
      <c r="O740" s="640">
        <f t="shared" si="294"/>
        <v>0</v>
      </c>
      <c r="P740" s="640">
        <f t="shared" si="295"/>
        <v>0</v>
      </c>
      <c r="Q740" s="597"/>
      <c r="R740" s="597"/>
      <c r="S740" s="597"/>
      <c r="T740" s="597"/>
      <c r="U740" s="597"/>
      <c r="V740" s="597"/>
      <c r="W740" s="597"/>
      <c r="X740" s="597"/>
      <c r="Y740" s="597"/>
      <c r="Z740" s="597"/>
    </row>
    <row r="741" spans="1:26" ht="18.75" hidden="1">
      <c r="A741" s="592"/>
      <c r="B741" s="600"/>
      <c r="C741" s="750"/>
      <c r="D741" s="711"/>
      <c r="E741" s="750" t="s">
        <v>184</v>
      </c>
      <c r="F741" s="750"/>
      <c r="G741" s="596"/>
      <c r="H741" s="165" t="s">
        <v>12</v>
      </c>
      <c r="I741" s="610"/>
      <c r="J741" s="610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7"/>
      <c r="R741" s="597"/>
      <c r="S741" s="597"/>
      <c r="T741" s="597"/>
      <c r="U741" s="597"/>
      <c r="V741" s="597"/>
      <c r="W741" s="597"/>
      <c r="X741" s="597"/>
      <c r="Y741" s="597"/>
      <c r="Z741" s="597"/>
    </row>
    <row r="742" spans="1:26" ht="18.75" hidden="1">
      <c r="A742" s="592"/>
      <c r="B742" s="600"/>
      <c r="C742" s="750"/>
      <c r="D742" s="711"/>
      <c r="E742" s="750" t="s">
        <v>185</v>
      </c>
      <c r="F742" s="750"/>
      <c r="G742" s="596"/>
      <c r="H742" s="165" t="s">
        <v>12</v>
      </c>
      <c r="I742" s="610"/>
      <c r="J742" s="610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7"/>
      <c r="R742" s="597"/>
      <c r="S742" s="597"/>
      <c r="T742" s="597"/>
      <c r="U742" s="597"/>
      <c r="V742" s="597"/>
      <c r="W742" s="597"/>
      <c r="X742" s="597"/>
      <c r="Y742" s="597"/>
      <c r="Z742" s="597"/>
    </row>
    <row r="743" spans="1:26" ht="18.75" hidden="1">
      <c r="A743" s="642"/>
      <c r="B743" s="600"/>
      <c r="C743" s="750"/>
      <c r="D743" s="750"/>
      <c r="E743" s="750"/>
      <c r="F743" s="750" t="s">
        <v>186</v>
      </c>
      <c r="G743" s="596"/>
      <c r="H743" s="165" t="s">
        <v>12</v>
      </c>
      <c r="I743" s="610"/>
      <c r="J743" s="610"/>
      <c r="K743" s="93"/>
      <c r="L743" s="93"/>
      <c r="M743" s="93"/>
      <c r="N743" s="93"/>
      <c r="O743" s="93"/>
      <c r="P743" s="93"/>
      <c r="Q743" s="597"/>
      <c r="R743" s="597"/>
      <c r="S743" s="597"/>
      <c r="T743" s="597"/>
      <c r="U743" s="597"/>
      <c r="V743" s="597"/>
      <c r="W743" s="597"/>
      <c r="X743" s="597"/>
      <c r="Y743" s="597"/>
      <c r="Z743" s="597"/>
    </row>
    <row r="744" spans="1:26" ht="18.75" hidden="1">
      <c r="A744" s="642"/>
      <c r="B744" s="600"/>
      <c r="C744" s="750"/>
      <c r="D744" s="750"/>
      <c r="E744" s="750"/>
      <c r="F744" s="750" t="s">
        <v>187</v>
      </c>
      <c r="G744" s="596"/>
      <c r="H744" s="165" t="s">
        <v>12</v>
      </c>
      <c r="I744" s="610"/>
      <c r="J744" s="610"/>
      <c r="K744" s="93"/>
      <c r="L744" s="93"/>
      <c r="M744" s="93"/>
      <c r="N744" s="93"/>
      <c r="O744" s="93"/>
      <c r="P744" s="93"/>
      <c r="Q744" s="597"/>
      <c r="R744" s="597"/>
      <c r="S744" s="597"/>
      <c r="T744" s="597"/>
      <c r="U744" s="597"/>
      <c r="V744" s="597"/>
      <c r="W744" s="597"/>
      <c r="X744" s="597"/>
      <c r="Y744" s="597"/>
      <c r="Z744" s="597"/>
    </row>
    <row r="745" spans="1:26" ht="18.75" hidden="1">
      <c r="A745" s="642"/>
      <c r="B745" s="600"/>
      <c r="C745" s="750"/>
      <c r="D745" s="750"/>
      <c r="E745" s="750"/>
      <c r="F745" s="750" t="s">
        <v>188</v>
      </c>
      <c r="G745" s="596"/>
      <c r="H745" s="165" t="s">
        <v>12</v>
      </c>
      <c r="I745" s="610"/>
      <c r="J745" s="610"/>
      <c r="K745" s="93"/>
      <c r="L745" s="93"/>
      <c r="M745" s="93"/>
      <c r="N745" s="93"/>
      <c r="O745" s="93"/>
      <c r="P745" s="93"/>
      <c r="Q745" s="597"/>
      <c r="R745" s="597"/>
      <c r="S745" s="597"/>
      <c r="T745" s="597"/>
      <c r="U745" s="597"/>
      <c r="V745" s="597"/>
      <c r="W745" s="597"/>
      <c r="X745" s="597"/>
      <c r="Y745" s="597"/>
      <c r="Z745" s="597"/>
    </row>
    <row r="746" spans="1:26" ht="18.75" hidden="1">
      <c r="A746" s="642"/>
      <c r="B746" s="600"/>
      <c r="C746" s="750"/>
      <c r="D746" s="750"/>
      <c r="E746" s="750"/>
      <c r="F746" s="750" t="s">
        <v>189</v>
      </c>
      <c r="G746" s="596"/>
      <c r="H746" s="165" t="s">
        <v>12</v>
      </c>
      <c r="I746" s="610"/>
      <c r="J746" s="610"/>
      <c r="K746" s="93"/>
      <c r="L746" s="93"/>
      <c r="M746" s="93"/>
      <c r="N746" s="93"/>
      <c r="O746" s="93"/>
      <c r="P746" s="93"/>
      <c r="Q746" s="597"/>
      <c r="R746" s="597"/>
      <c r="S746" s="597"/>
      <c r="T746" s="597"/>
      <c r="U746" s="597"/>
      <c r="V746" s="597"/>
      <c r="W746" s="597"/>
      <c r="X746" s="597"/>
      <c r="Y746" s="597"/>
      <c r="Z746" s="597"/>
    </row>
    <row r="747" spans="1:26" ht="19.5" hidden="1">
      <c r="A747" s="592"/>
      <c r="B747" s="600"/>
      <c r="C747" s="750"/>
      <c r="D747" s="638" t="s">
        <v>21</v>
      </c>
      <c r="E747" s="750"/>
      <c r="F747" s="750"/>
      <c r="G747" s="596"/>
      <c r="H747" s="774" t="s">
        <v>12</v>
      </c>
      <c r="I747" s="166"/>
      <c r="J747" s="166"/>
      <c r="K747" s="167"/>
      <c r="L747" s="640">
        <f t="shared" ref="L747:N747" si="298">L748+L749</f>
        <v>0</v>
      </c>
      <c r="M747" s="640">
        <f t="shared" si="298"/>
        <v>0</v>
      </c>
      <c r="N747" s="640">
        <f t="shared" si="298"/>
        <v>0</v>
      </c>
      <c r="O747" s="640">
        <f t="shared" ref="O747:O749" si="299">IF(L747&gt;0,N747*100/L747,0)</f>
        <v>0</v>
      </c>
      <c r="P747" s="640">
        <f t="shared" ref="P747:P749" si="300">IF(M747&gt;0,N747*100/M747,0)</f>
        <v>0</v>
      </c>
      <c r="Q747" s="597"/>
      <c r="R747" s="597"/>
      <c r="S747" s="597"/>
      <c r="T747" s="597"/>
      <c r="U747" s="597"/>
      <c r="V747" s="597"/>
      <c r="W747" s="597"/>
      <c r="X747" s="597"/>
      <c r="Y747" s="597"/>
      <c r="Z747" s="597"/>
    </row>
    <row r="748" spans="1:26" ht="18.75" hidden="1">
      <c r="A748" s="592"/>
      <c r="B748" s="600"/>
      <c r="C748" s="750"/>
      <c r="D748" s="750"/>
      <c r="E748" s="750" t="s">
        <v>18</v>
      </c>
      <c r="F748" s="750"/>
      <c r="G748" s="596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7"/>
      <c r="R748" s="597"/>
      <c r="S748" s="597"/>
      <c r="T748" s="597"/>
      <c r="U748" s="597"/>
      <c r="V748" s="597"/>
      <c r="W748" s="597"/>
      <c r="X748" s="597"/>
      <c r="Y748" s="597"/>
      <c r="Z748" s="597"/>
    </row>
    <row r="749" spans="1:26" ht="18.75" hidden="1">
      <c r="A749" s="592"/>
      <c r="B749" s="600"/>
      <c r="C749" s="750"/>
      <c r="D749" s="750"/>
      <c r="E749" s="750" t="s">
        <v>19</v>
      </c>
      <c r="F749" s="750"/>
      <c r="G749" s="596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7"/>
      <c r="R749" s="597"/>
      <c r="S749" s="597"/>
      <c r="T749" s="597"/>
      <c r="U749" s="597"/>
      <c r="V749" s="597"/>
      <c r="W749" s="597"/>
      <c r="X749" s="597"/>
      <c r="Y749" s="597"/>
      <c r="Z749" s="597"/>
    </row>
    <row r="750" spans="1:26" ht="19.5" hidden="1">
      <c r="A750" s="607"/>
      <c r="B750" s="609"/>
      <c r="C750" s="750" t="s">
        <v>16</v>
      </c>
      <c r="D750" s="866" t="s">
        <v>38</v>
      </c>
      <c r="E750" s="644"/>
      <c r="F750" s="644"/>
      <c r="G750" s="645"/>
      <c r="H750" s="365"/>
      <c r="I750" s="166"/>
      <c r="J750" s="166"/>
      <c r="K750" s="167"/>
      <c r="L750" s="167"/>
      <c r="M750" s="167"/>
      <c r="N750" s="167"/>
      <c r="O750" s="167"/>
      <c r="P750" s="167"/>
      <c r="Q750" s="597"/>
      <c r="R750" s="597"/>
      <c r="S750" s="597"/>
      <c r="T750" s="597"/>
      <c r="U750" s="597"/>
      <c r="V750" s="597"/>
      <c r="W750" s="597"/>
      <c r="X750" s="597"/>
      <c r="Y750" s="597"/>
      <c r="Z750" s="597"/>
    </row>
    <row r="751" spans="1:26" ht="18.75" hidden="1">
      <c r="A751" s="642"/>
      <c r="B751" s="600"/>
      <c r="C751" s="750"/>
      <c r="D751" s="750"/>
      <c r="E751" s="750" t="s">
        <v>313</v>
      </c>
      <c r="F751" s="750"/>
      <c r="G751" s="596"/>
      <c r="H751" s="165" t="s">
        <v>46</v>
      </c>
      <c r="I751" s="610"/>
      <c r="J751" s="610"/>
      <c r="K751" s="93"/>
      <c r="L751" s="93"/>
      <c r="M751" s="93"/>
      <c r="N751" s="93"/>
      <c r="O751" s="93"/>
      <c r="P751" s="93"/>
      <c r="Q751" s="597"/>
      <c r="R751" s="597"/>
      <c r="S751" s="597"/>
      <c r="T751" s="597"/>
      <c r="U751" s="597"/>
      <c r="V751" s="597"/>
      <c r="W751" s="597"/>
      <c r="X751" s="597"/>
      <c r="Y751" s="597"/>
      <c r="Z751" s="597"/>
    </row>
    <row r="752" spans="1:26" ht="18.75" hidden="1">
      <c r="A752" s="642"/>
      <c r="B752" s="600"/>
      <c r="C752" s="750"/>
      <c r="D752" s="750"/>
      <c r="E752" s="750"/>
      <c r="F752" s="750"/>
      <c r="G752" s="596"/>
      <c r="H752" s="165" t="s">
        <v>314</v>
      </c>
      <c r="I752" s="610"/>
      <c r="J752" s="610"/>
      <c r="K752" s="93"/>
      <c r="L752" s="93"/>
      <c r="M752" s="93"/>
      <c r="N752" s="93"/>
      <c r="O752" s="93"/>
      <c r="P752" s="93"/>
      <c r="Q752" s="597"/>
      <c r="R752" s="597"/>
      <c r="S752" s="597"/>
      <c r="T752" s="597"/>
      <c r="U752" s="597"/>
      <c r="V752" s="597"/>
      <c r="W752" s="597"/>
      <c r="X752" s="597"/>
      <c r="Y752" s="597"/>
      <c r="Z752" s="597"/>
    </row>
    <row r="753" spans="1:26" ht="19.5" hidden="1">
      <c r="A753" s="776">
        <v>10</v>
      </c>
      <c r="B753" s="777" t="s">
        <v>315</v>
      </c>
      <c r="C753" s="778"/>
      <c r="D753" s="778"/>
      <c r="E753" s="778"/>
      <c r="F753" s="778"/>
      <c r="G753" s="779"/>
      <c r="H753" s="780" t="s">
        <v>46</v>
      </c>
      <c r="I753" s="781"/>
      <c r="J753" s="781">
        <f>J768</f>
        <v>0</v>
      </c>
      <c r="K753" s="782">
        <f>IF(I753&gt;0,J753*100/I753,0)</f>
        <v>0</v>
      </c>
      <c r="L753" s="783"/>
      <c r="M753" s="783"/>
      <c r="N753" s="783"/>
      <c r="O753" s="783"/>
      <c r="P753" s="783"/>
      <c r="Q753" s="597"/>
      <c r="R753" s="597"/>
      <c r="S753" s="597"/>
      <c r="T753" s="597"/>
      <c r="U753" s="597"/>
      <c r="V753" s="597"/>
      <c r="W753" s="597"/>
      <c r="X753" s="597"/>
      <c r="Y753" s="597"/>
      <c r="Z753" s="597"/>
    </row>
    <row r="754" spans="1:26" ht="19.5" hidden="1">
      <c r="A754" s="592"/>
      <c r="B754" s="750"/>
      <c r="C754" s="750" t="s">
        <v>16</v>
      </c>
      <c r="D754" s="839" t="s">
        <v>17</v>
      </c>
      <c r="E754" s="832"/>
      <c r="F754" s="832"/>
      <c r="G754" s="596"/>
      <c r="H754" s="639" t="s">
        <v>12</v>
      </c>
      <c r="I754" s="610"/>
      <c r="J754" s="610"/>
      <c r="K754" s="93"/>
      <c r="L754" s="640">
        <f t="shared" ref="L754:N754" si="301">L755+L756</f>
        <v>0</v>
      </c>
      <c r="M754" s="640">
        <f t="shared" si="301"/>
        <v>0</v>
      </c>
      <c r="N754" s="640">
        <f t="shared" si="301"/>
        <v>0</v>
      </c>
      <c r="O754" s="640">
        <f t="shared" ref="O754:O759" si="302">IF(L754&gt;0,N754*100/L754,0)</f>
        <v>0</v>
      </c>
      <c r="P754" s="640">
        <f t="shared" ref="P754:P759" si="303">IF(M754&gt;0,N754*100/M754,0)</f>
        <v>0</v>
      </c>
      <c r="Q754" s="597"/>
      <c r="R754" s="597"/>
      <c r="S754" s="597"/>
      <c r="T754" s="597"/>
      <c r="U754" s="597"/>
      <c r="V754" s="597"/>
      <c r="W754" s="597"/>
      <c r="X754" s="597"/>
      <c r="Y754" s="597"/>
      <c r="Z754" s="597"/>
    </row>
    <row r="755" spans="1:26" ht="18.75" hidden="1">
      <c r="A755" s="592"/>
      <c r="B755" s="750"/>
      <c r="C755" s="750"/>
      <c r="D755" s="711"/>
      <c r="E755" s="750" t="s">
        <v>184</v>
      </c>
      <c r="F755" s="750"/>
      <c r="G755" s="596"/>
      <c r="H755" s="165" t="s">
        <v>12</v>
      </c>
      <c r="I755" s="610"/>
      <c r="J755" s="610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7"/>
      <c r="R755" s="597"/>
      <c r="S755" s="597"/>
      <c r="T755" s="597"/>
      <c r="U755" s="597"/>
      <c r="V755" s="597"/>
      <c r="W755" s="597"/>
      <c r="X755" s="597"/>
      <c r="Y755" s="597"/>
      <c r="Z755" s="597"/>
    </row>
    <row r="756" spans="1:26" ht="18.75" hidden="1">
      <c r="A756" s="592"/>
      <c r="B756" s="600"/>
      <c r="C756" s="750"/>
      <c r="D756" s="711"/>
      <c r="E756" s="750" t="s">
        <v>185</v>
      </c>
      <c r="F756" s="750"/>
      <c r="G756" s="596"/>
      <c r="H756" s="165" t="s">
        <v>12</v>
      </c>
      <c r="I756" s="610"/>
      <c r="J756" s="610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7"/>
      <c r="R756" s="597"/>
      <c r="S756" s="597"/>
      <c r="T756" s="597"/>
      <c r="U756" s="597"/>
      <c r="V756" s="597"/>
      <c r="W756" s="597"/>
      <c r="X756" s="597"/>
      <c r="Y756" s="597"/>
      <c r="Z756" s="597"/>
    </row>
    <row r="757" spans="1:26" ht="19.5" hidden="1">
      <c r="A757" s="592"/>
      <c r="B757" s="600"/>
      <c r="C757" s="750"/>
      <c r="D757" s="638" t="s">
        <v>20</v>
      </c>
      <c r="E757" s="750"/>
      <c r="F757" s="750"/>
      <c r="G757" s="596"/>
      <c r="H757" s="639" t="s">
        <v>12</v>
      </c>
      <c r="I757" s="166"/>
      <c r="J757" s="166"/>
      <c r="K757" s="167"/>
      <c r="L757" s="640">
        <f t="shared" ref="L757:N757" si="305">L758+L759</f>
        <v>0</v>
      </c>
      <c r="M757" s="640">
        <f t="shared" si="305"/>
        <v>0</v>
      </c>
      <c r="N757" s="640">
        <f t="shared" si="305"/>
        <v>0</v>
      </c>
      <c r="O757" s="640">
        <f t="shared" si="302"/>
        <v>0</v>
      </c>
      <c r="P757" s="640">
        <f t="shared" si="303"/>
        <v>0</v>
      </c>
      <c r="Q757" s="597"/>
      <c r="R757" s="597"/>
      <c r="S757" s="597"/>
      <c r="T757" s="597"/>
      <c r="U757" s="597"/>
      <c r="V757" s="597"/>
      <c r="W757" s="597"/>
      <c r="X757" s="597"/>
      <c r="Y757" s="597"/>
      <c r="Z757" s="597"/>
    </row>
    <row r="758" spans="1:26" ht="18.75" hidden="1">
      <c r="A758" s="592"/>
      <c r="B758" s="600"/>
      <c r="C758" s="750"/>
      <c r="D758" s="711"/>
      <c r="E758" s="750" t="s">
        <v>184</v>
      </c>
      <c r="F758" s="750"/>
      <c r="G758" s="596"/>
      <c r="H758" s="165" t="s">
        <v>12</v>
      </c>
      <c r="I758" s="610"/>
      <c r="J758" s="610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7"/>
      <c r="R758" s="597"/>
      <c r="S758" s="597"/>
      <c r="T758" s="597"/>
      <c r="U758" s="597"/>
      <c r="V758" s="597"/>
      <c r="W758" s="597"/>
      <c r="X758" s="597"/>
      <c r="Y758" s="597"/>
      <c r="Z758" s="597"/>
    </row>
    <row r="759" spans="1:26" ht="18.75" hidden="1">
      <c r="A759" s="592"/>
      <c r="B759" s="600"/>
      <c r="C759" s="750"/>
      <c r="D759" s="711"/>
      <c r="E759" s="750" t="s">
        <v>185</v>
      </c>
      <c r="F759" s="750"/>
      <c r="G759" s="596"/>
      <c r="H759" s="165" t="s">
        <v>12</v>
      </c>
      <c r="I759" s="610"/>
      <c r="J759" s="610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7"/>
      <c r="R759" s="597"/>
      <c r="S759" s="597"/>
      <c r="T759" s="597"/>
      <c r="U759" s="597"/>
      <c r="V759" s="597"/>
      <c r="W759" s="597"/>
      <c r="X759" s="597"/>
      <c r="Y759" s="597"/>
      <c r="Z759" s="597"/>
    </row>
    <row r="760" spans="1:26" ht="18.75" hidden="1">
      <c r="A760" s="642"/>
      <c r="B760" s="600"/>
      <c r="C760" s="750"/>
      <c r="D760" s="750"/>
      <c r="E760" s="750"/>
      <c r="F760" s="750" t="s">
        <v>186</v>
      </c>
      <c r="G760" s="596"/>
      <c r="H760" s="165" t="s">
        <v>12</v>
      </c>
      <c r="I760" s="610"/>
      <c r="J760" s="610"/>
      <c r="K760" s="93"/>
      <c r="L760" s="93"/>
      <c r="M760" s="93"/>
      <c r="N760" s="93"/>
      <c r="O760" s="93"/>
      <c r="P760" s="93"/>
      <c r="Q760" s="597"/>
      <c r="R760" s="597"/>
      <c r="S760" s="597"/>
      <c r="T760" s="597"/>
      <c r="U760" s="597"/>
      <c r="V760" s="597"/>
      <c r="W760" s="597"/>
      <c r="X760" s="597"/>
      <c r="Y760" s="597"/>
      <c r="Z760" s="597"/>
    </row>
    <row r="761" spans="1:26" ht="18.75" hidden="1">
      <c r="A761" s="642"/>
      <c r="B761" s="600"/>
      <c r="C761" s="750"/>
      <c r="D761" s="750"/>
      <c r="E761" s="750"/>
      <c r="F761" s="750" t="s">
        <v>187</v>
      </c>
      <c r="G761" s="596"/>
      <c r="H761" s="165" t="s">
        <v>12</v>
      </c>
      <c r="I761" s="610"/>
      <c r="J761" s="610"/>
      <c r="K761" s="93"/>
      <c r="L761" s="93"/>
      <c r="M761" s="93"/>
      <c r="N761" s="93"/>
      <c r="O761" s="93"/>
      <c r="P761" s="93"/>
      <c r="Q761" s="597"/>
      <c r="R761" s="597"/>
      <c r="S761" s="597"/>
      <c r="T761" s="597"/>
      <c r="U761" s="597"/>
      <c r="V761" s="597"/>
      <c r="W761" s="597"/>
      <c r="X761" s="597"/>
      <c r="Y761" s="597"/>
      <c r="Z761" s="597"/>
    </row>
    <row r="762" spans="1:26" ht="18.75" hidden="1">
      <c r="A762" s="642"/>
      <c r="B762" s="600"/>
      <c r="C762" s="750"/>
      <c r="D762" s="750"/>
      <c r="E762" s="750"/>
      <c r="F762" s="750" t="s">
        <v>188</v>
      </c>
      <c r="G762" s="596"/>
      <c r="H762" s="165" t="s">
        <v>12</v>
      </c>
      <c r="I762" s="610"/>
      <c r="J762" s="610"/>
      <c r="K762" s="93"/>
      <c r="L762" s="93"/>
      <c r="M762" s="93"/>
      <c r="N762" s="93"/>
      <c r="O762" s="93"/>
      <c r="P762" s="93"/>
      <c r="Q762" s="597"/>
      <c r="R762" s="597"/>
      <c r="S762" s="597"/>
      <c r="T762" s="597"/>
      <c r="U762" s="597"/>
      <c r="V762" s="597"/>
      <c r="W762" s="597"/>
      <c r="X762" s="597"/>
      <c r="Y762" s="597"/>
      <c r="Z762" s="597"/>
    </row>
    <row r="763" spans="1:26" ht="18.75" hidden="1">
      <c r="A763" s="642"/>
      <c r="B763" s="600"/>
      <c r="C763" s="750"/>
      <c r="D763" s="750"/>
      <c r="E763" s="750"/>
      <c r="F763" s="750" t="s">
        <v>189</v>
      </c>
      <c r="G763" s="596"/>
      <c r="H763" s="165" t="s">
        <v>12</v>
      </c>
      <c r="I763" s="610"/>
      <c r="J763" s="610"/>
      <c r="K763" s="93"/>
      <c r="L763" s="93"/>
      <c r="M763" s="93"/>
      <c r="N763" s="93"/>
      <c r="O763" s="93"/>
      <c r="P763" s="93"/>
      <c r="Q763" s="597"/>
      <c r="R763" s="597"/>
      <c r="S763" s="597"/>
      <c r="T763" s="597"/>
      <c r="U763" s="597"/>
      <c r="V763" s="597"/>
      <c r="W763" s="597"/>
      <c r="X763" s="597"/>
      <c r="Y763" s="597"/>
      <c r="Z763" s="597"/>
    </row>
    <row r="764" spans="1:26" ht="19.5" hidden="1">
      <c r="A764" s="592"/>
      <c r="B764" s="600"/>
      <c r="C764" s="750"/>
      <c r="D764" s="638" t="s">
        <v>21</v>
      </c>
      <c r="E764" s="750"/>
      <c r="F764" s="750"/>
      <c r="G764" s="596"/>
      <c r="H764" s="774" t="s">
        <v>12</v>
      </c>
      <c r="I764" s="166"/>
      <c r="J764" s="166"/>
      <c r="K764" s="167"/>
      <c r="L764" s="640">
        <f t="shared" ref="L764:N764" si="306">L765+L766</f>
        <v>0</v>
      </c>
      <c r="M764" s="640">
        <f t="shared" si="306"/>
        <v>0</v>
      </c>
      <c r="N764" s="640">
        <f t="shared" si="306"/>
        <v>0</v>
      </c>
      <c r="O764" s="640">
        <f t="shared" ref="O764:O766" si="307">IF(L764&gt;0,N764*100/L764,0)</f>
        <v>0</v>
      </c>
      <c r="P764" s="640">
        <f t="shared" ref="P764:P766" si="308">IF(M764&gt;0,N764*100/M764,0)</f>
        <v>0</v>
      </c>
      <c r="Q764" s="597"/>
      <c r="R764" s="597"/>
      <c r="S764" s="597"/>
      <c r="T764" s="597"/>
      <c r="U764" s="597"/>
      <c r="V764" s="597"/>
      <c r="W764" s="597"/>
      <c r="X764" s="597"/>
      <c r="Y764" s="597"/>
      <c r="Z764" s="597"/>
    </row>
    <row r="765" spans="1:26" ht="18.75" hidden="1">
      <c r="A765" s="592"/>
      <c r="B765" s="600"/>
      <c r="C765" s="750"/>
      <c r="D765" s="750"/>
      <c r="E765" s="750" t="s">
        <v>18</v>
      </c>
      <c r="F765" s="750"/>
      <c r="G765" s="596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7"/>
      <c r="R765" s="597"/>
      <c r="S765" s="597"/>
      <c r="T765" s="597"/>
      <c r="U765" s="597"/>
      <c r="V765" s="597"/>
      <c r="W765" s="597"/>
      <c r="X765" s="597"/>
      <c r="Y765" s="597"/>
      <c r="Z765" s="597"/>
    </row>
    <row r="766" spans="1:26" ht="18.75" hidden="1">
      <c r="A766" s="592"/>
      <c r="B766" s="600"/>
      <c r="C766" s="750"/>
      <c r="D766" s="750"/>
      <c r="E766" s="750" t="s">
        <v>19</v>
      </c>
      <c r="F766" s="750"/>
      <c r="G766" s="596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7"/>
      <c r="R766" s="597"/>
      <c r="S766" s="597"/>
      <c r="T766" s="597"/>
      <c r="U766" s="597"/>
      <c r="V766" s="597"/>
      <c r="W766" s="597"/>
      <c r="X766" s="597"/>
      <c r="Y766" s="597"/>
      <c r="Z766" s="597"/>
    </row>
    <row r="767" spans="1:26" ht="19.5" hidden="1">
      <c r="A767" s="607"/>
      <c r="B767" s="609"/>
      <c r="C767" s="750" t="s">
        <v>16</v>
      </c>
      <c r="D767" s="866" t="s">
        <v>38</v>
      </c>
      <c r="E767" s="644"/>
      <c r="F767" s="644"/>
      <c r="G767" s="645"/>
      <c r="H767" s="365"/>
      <c r="I767" s="166"/>
      <c r="J767" s="166"/>
      <c r="K767" s="167"/>
      <c r="L767" s="167"/>
      <c r="M767" s="167"/>
      <c r="N767" s="167"/>
      <c r="O767" s="167"/>
      <c r="P767" s="167"/>
      <c r="Q767" s="597"/>
      <c r="R767" s="597"/>
      <c r="S767" s="597"/>
      <c r="T767" s="597"/>
      <c r="U767" s="597"/>
      <c r="V767" s="597"/>
      <c r="W767" s="597"/>
      <c r="X767" s="597"/>
      <c r="Y767" s="597"/>
      <c r="Z767" s="597"/>
    </row>
    <row r="768" spans="1:26" ht="18.75" hidden="1">
      <c r="A768" s="642"/>
      <c r="B768" s="600"/>
      <c r="C768" s="750"/>
      <c r="D768" s="750"/>
      <c r="E768" s="750" t="s">
        <v>316</v>
      </c>
      <c r="F768" s="750"/>
      <c r="G768" s="596"/>
      <c r="H768" s="165" t="s">
        <v>46</v>
      </c>
      <c r="I768" s="610"/>
      <c r="J768" s="610"/>
      <c r="K768" s="93"/>
      <c r="L768" s="93"/>
      <c r="M768" s="93"/>
      <c r="N768" s="93"/>
      <c r="O768" s="93"/>
      <c r="P768" s="93"/>
      <c r="Q768" s="597"/>
      <c r="R768" s="597"/>
      <c r="S768" s="597"/>
      <c r="T768" s="597"/>
      <c r="U768" s="597"/>
      <c r="V768" s="597"/>
      <c r="W768" s="597"/>
      <c r="X768" s="597"/>
      <c r="Y768" s="597"/>
      <c r="Z768" s="597"/>
    </row>
    <row r="769" spans="1:26" ht="19.5" hidden="1">
      <c r="A769" s="784">
        <v>11</v>
      </c>
      <c r="B769" s="785" t="s">
        <v>317</v>
      </c>
      <c r="C769" s="786"/>
      <c r="D769" s="786"/>
      <c r="E769" s="786"/>
      <c r="F769" s="786"/>
      <c r="G769" s="787"/>
      <c r="H769" s="788" t="s">
        <v>46</v>
      </c>
      <c r="I769" s="789"/>
      <c r="J769" s="789">
        <f>J784</f>
        <v>0</v>
      </c>
      <c r="K769" s="790">
        <f>IF(I769&gt;0,J769*100/I769,0)</f>
        <v>0</v>
      </c>
      <c r="L769" s="791"/>
      <c r="M769" s="791"/>
      <c r="N769" s="791"/>
      <c r="O769" s="791"/>
      <c r="P769" s="791"/>
      <c r="Q769" s="597"/>
      <c r="R769" s="597"/>
      <c r="S769" s="597"/>
      <c r="T769" s="597"/>
      <c r="U769" s="597"/>
      <c r="V769" s="597"/>
      <c r="W769" s="597"/>
      <c r="X769" s="597"/>
      <c r="Y769" s="597"/>
      <c r="Z769" s="597"/>
    </row>
    <row r="770" spans="1:26" ht="19.5" hidden="1">
      <c r="A770" s="592"/>
      <c r="B770" s="750"/>
      <c r="C770" s="750" t="s">
        <v>16</v>
      </c>
      <c r="D770" s="839" t="s">
        <v>17</v>
      </c>
      <c r="E770" s="832"/>
      <c r="F770" s="832"/>
      <c r="G770" s="596"/>
      <c r="H770" s="639" t="s">
        <v>12</v>
      </c>
      <c r="I770" s="610"/>
      <c r="J770" s="610"/>
      <c r="K770" s="93"/>
      <c r="L770" s="640">
        <f t="shared" ref="L770:N770" si="309">L771+L772</f>
        <v>0</v>
      </c>
      <c r="M770" s="640">
        <f t="shared" si="309"/>
        <v>0</v>
      </c>
      <c r="N770" s="640">
        <f t="shared" si="309"/>
        <v>0</v>
      </c>
      <c r="O770" s="640">
        <f t="shared" ref="O770:O775" si="310">IF(L770&gt;0,N770*100/L770,0)</f>
        <v>0</v>
      </c>
      <c r="P770" s="640">
        <f t="shared" ref="P770:P775" si="311">IF(M770&gt;0,N770*100/M770,0)</f>
        <v>0</v>
      </c>
      <c r="Q770" s="597"/>
      <c r="R770" s="597"/>
      <c r="S770" s="597"/>
      <c r="T770" s="597"/>
      <c r="U770" s="597"/>
      <c r="V770" s="597"/>
      <c r="W770" s="597"/>
      <c r="X770" s="597"/>
      <c r="Y770" s="597"/>
      <c r="Z770" s="597"/>
    </row>
    <row r="771" spans="1:26" ht="18.75" hidden="1">
      <c r="A771" s="592"/>
      <c r="B771" s="750"/>
      <c r="C771" s="750"/>
      <c r="D771" s="711"/>
      <c r="E771" s="750" t="s">
        <v>184</v>
      </c>
      <c r="F771" s="750"/>
      <c r="G771" s="596"/>
      <c r="H771" s="165" t="s">
        <v>12</v>
      </c>
      <c r="I771" s="610"/>
      <c r="J771" s="610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7"/>
      <c r="R771" s="597"/>
      <c r="S771" s="597"/>
      <c r="T771" s="597"/>
      <c r="U771" s="597"/>
      <c r="V771" s="597"/>
      <c r="W771" s="597"/>
      <c r="X771" s="597"/>
      <c r="Y771" s="597"/>
      <c r="Z771" s="597"/>
    </row>
    <row r="772" spans="1:26" ht="18.75" hidden="1">
      <c r="A772" s="592"/>
      <c r="B772" s="600"/>
      <c r="C772" s="750"/>
      <c r="D772" s="711"/>
      <c r="E772" s="750" t="s">
        <v>185</v>
      </c>
      <c r="F772" s="750"/>
      <c r="G772" s="596"/>
      <c r="H772" s="165" t="s">
        <v>12</v>
      </c>
      <c r="I772" s="610"/>
      <c r="J772" s="610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7"/>
      <c r="R772" s="597"/>
      <c r="S772" s="597"/>
      <c r="T772" s="597"/>
      <c r="U772" s="597"/>
      <c r="V772" s="597"/>
      <c r="W772" s="597"/>
      <c r="X772" s="597"/>
      <c r="Y772" s="597"/>
      <c r="Z772" s="597"/>
    </row>
    <row r="773" spans="1:26" ht="19.5" hidden="1">
      <c r="A773" s="592"/>
      <c r="B773" s="600"/>
      <c r="C773" s="750"/>
      <c r="D773" s="638" t="s">
        <v>20</v>
      </c>
      <c r="E773" s="750"/>
      <c r="F773" s="750"/>
      <c r="G773" s="596"/>
      <c r="H773" s="639" t="s">
        <v>12</v>
      </c>
      <c r="I773" s="166"/>
      <c r="J773" s="166"/>
      <c r="K773" s="167"/>
      <c r="L773" s="640">
        <f t="shared" ref="L773:N773" si="313">L774+L775</f>
        <v>0</v>
      </c>
      <c r="M773" s="640">
        <f t="shared" si="313"/>
        <v>0</v>
      </c>
      <c r="N773" s="640">
        <f t="shared" si="313"/>
        <v>0</v>
      </c>
      <c r="O773" s="640">
        <f t="shared" si="310"/>
        <v>0</v>
      </c>
      <c r="P773" s="640">
        <f t="shared" si="311"/>
        <v>0</v>
      </c>
      <c r="Q773" s="597"/>
      <c r="R773" s="597"/>
      <c r="S773" s="597"/>
      <c r="T773" s="597"/>
      <c r="U773" s="597"/>
      <c r="V773" s="597"/>
      <c r="W773" s="597"/>
      <c r="X773" s="597"/>
      <c r="Y773" s="597"/>
      <c r="Z773" s="597"/>
    </row>
    <row r="774" spans="1:26" ht="18.75" hidden="1">
      <c r="A774" s="592"/>
      <c r="B774" s="600"/>
      <c r="C774" s="750"/>
      <c r="D774" s="711"/>
      <c r="E774" s="750" t="s">
        <v>184</v>
      </c>
      <c r="F774" s="750"/>
      <c r="G774" s="596"/>
      <c r="H774" s="165" t="s">
        <v>12</v>
      </c>
      <c r="I774" s="610"/>
      <c r="J774" s="610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7"/>
      <c r="R774" s="597"/>
      <c r="S774" s="597"/>
      <c r="T774" s="597"/>
      <c r="U774" s="597"/>
      <c r="V774" s="597"/>
      <c r="W774" s="597"/>
      <c r="X774" s="597"/>
      <c r="Y774" s="597"/>
      <c r="Z774" s="597"/>
    </row>
    <row r="775" spans="1:26" ht="18.75" hidden="1">
      <c r="A775" s="592"/>
      <c r="B775" s="600"/>
      <c r="C775" s="750"/>
      <c r="D775" s="711"/>
      <c r="E775" s="750" t="s">
        <v>185</v>
      </c>
      <c r="F775" s="750"/>
      <c r="G775" s="596"/>
      <c r="H775" s="165" t="s">
        <v>12</v>
      </c>
      <c r="I775" s="610"/>
      <c r="J775" s="610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7"/>
      <c r="R775" s="597"/>
      <c r="S775" s="597"/>
      <c r="T775" s="597"/>
      <c r="U775" s="597"/>
      <c r="V775" s="597"/>
      <c r="W775" s="597"/>
      <c r="X775" s="597"/>
      <c r="Y775" s="597"/>
      <c r="Z775" s="597"/>
    </row>
    <row r="776" spans="1:26" ht="18.75" hidden="1">
      <c r="A776" s="642"/>
      <c r="B776" s="600"/>
      <c r="C776" s="750"/>
      <c r="D776" s="750"/>
      <c r="E776" s="750"/>
      <c r="F776" s="750" t="s">
        <v>186</v>
      </c>
      <c r="G776" s="596"/>
      <c r="H776" s="165" t="s">
        <v>12</v>
      </c>
      <c r="I776" s="610"/>
      <c r="J776" s="610"/>
      <c r="K776" s="93"/>
      <c r="L776" s="93"/>
      <c r="M776" s="93"/>
      <c r="N776" s="93"/>
      <c r="O776" s="93"/>
      <c r="P776" s="93"/>
      <c r="Q776" s="597"/>
      <c r="R776" s="597"/>
      <c r="S776" s="597"/>
      <c r="T776" s="597"/>
      <c r="U776" s="597"/>
      <c r="V776" s="597"/>
      <c r="W776" s="597"/>
      <c r="X776" s="597"/>
      <c r="Y776" s="597"/>
      <c r="Z776" s="597"/>
    </row>
    <row r="777" spans="1:26" ht="18.75" hidden="1">
      <c r="A777" s="642"/>
      <c r="B777" s="600"/>
      <c r="C777" s="750"/>
      <c r="D777" s="750"/>
      <c r="E777" s="750"/>
      <c r="F777" s="750" t="s">
        <v>187</v>
      </c>
      <c r="G777" s="596"/>
      <c r="H777" s="165" t="s">
        <v>12</v>
      </c>
      <c r="I777" s="610"/>
      <c r="J777" s="610"/>
      <c r="K777" s="93"/>
      <c r="L777" s="93"/>
      <c r="M777" s="93"/>
      <c r="N777" s="93"/>
      <c r="O777" s="93"/>
      <c r="P777" s="93"/>
      <c r="Q777" s="597"/>
      <c r="R777" s="597"/>
      <c r="S777" s="597"/>
      <c r="T777" s="597"/>
      <c r="U777" s="597"/>
      <c r="V777" s="597"/>
      <c r="W777" s="597"/>
      <c r="X777" s="597"/>
      <c r="Y777" s="597"/>
      <c r="Z777" s="597"/>
    </row>
    <row r="778" spans="1:26" ht="18.75" hidden="1">
      <c r="A778" s="642"/>
      <c r="B778" s="600"/>
      <c r="C778" s="750"/>
      <c r="D778" s="750"/>
      <c r="E778" s="750"/>
      <c r="F778" s="750" t="s">
        <v>188</v>
      </c>
      <c r="G778" s="596"/>
      <c r="H778" s="165" t="s">
        <v>12</v>
      </c>
      <c r="I778" s="610"/>
      <c r="J778" s="610"/>
      <c r="K778" s="93"/>
      <c r="L778" s="93"/>
      <c r="M778" s="93"/>
      <c r="N778" s="93"/>
      <c r="O778" s="93"/>
      <c r="P778" s="93"/>
      <c r="Q778" s="597"/>
      <c r="R778" s="597"/>
      <c r="S778" s="597"/>
      <c r="T778" s="597"/>
      <c r="U778" s="597"/>
      <c r="V778" s="597"/>
      <c r="W778" s="597"/>
      <c r="X778" s="597"/>
      <c r="Y778" s="597"/>
      <c r="Z778" s="597"/>
    </row>
    <row r="779" spans="1:26" ht="18.75" hidden="1">
      <c r="A779" s="642"/>
      <c r="B779" s="600"/>
      <c r="C779" s="750"/>
      <c r="D779" s="750"/>
      <c r="E779" s="750"/>
      <c r="F779" s="750" t="s">
        <v>189</v>
      </c>
      <c r="G779" s="596"/>
      <c r="H779" s="165" t="s">
        <v>12</v>
      </c>
      <c r="I779" s="610"/>
      <c r="J779" s="610"/>
      <c r="K779" s="93"/>
      <c r="L779" s="93"/>
      <c r="M779" s="93"/>
      <c r="N779" s="93"/>
      <c r="O779" s="93"/>
      <c r="P779" s="93"/>
      <c r="Q779" s="597"/>
      <c r="R779" s="597"/>
      <c r="S779" s="597"/>
      <c r="T779" s="597"/>
      <c r="U779" s="597"/>
      <c r="V779" s="597"/>
      <c r="W779" s="597"/>
      <c r="X779" s="597"/>
      <c r="Y779" s="597"/>
      <c r="Z779" s="597"/>
    </row>
    <row r="780" spans="1:26" ht="19.5" hidden="1">
      <c r="A780" s="592"/>
      <c r="B780" s="600"/>
      <c r="C780" s="750"/>
      <c r="D780" s="638" t="s">
        <v>21</v>
      </c>
      <c r="E780" s="750"/>
      <c r="F780" s="750"/>
      <c r="G780" s="596"/>
      <c r="H780" s="774" t="s">
        <v>12</v>
      </c>
      <c r="I780" s="166"/>
      <c r="J780" s="166"/>
      <c r="K780" s="167"/>
      <c r="L780" s="640">
        <f t="shared" ref="L780:N780" si="314">L781+L782</f>
        <v>0</v>
      </c>
      <c r="M780" s="640">
        <f t="shared" si="314"/>
        <v>0</v>
      </c>
      <c r="N780" s="640">
        <f t="shared" si="314"/>
        <v>0</v>
      </c>
      <c r="O780" s="640">
        <f t="shared" ref="O780:O782" si="315">IF(L780&gt;0,N780*100/L780,0)</f>
        <v>0</v>
      </c>
      <c r="P780" s="640">
        <f t="shared" ref="P780:P782" si="316">IF(M780&gt;0,N780*100/M780,0)</f>
        <v>0</v>
      </c>
      <c r="Q780" s="597"/>
      <c r="R780" s="597"/>
      <c r="S780" s="597"/>
      <c r="T780" s="597"/>
      <c r="U780" s="597"/>
      <c r="V780" s="597"/>
      <c r="W780" s="597"/>
      <c r="X780" s="597"/>
      <c r="Y780" s="597"/>
      <c r="Z780" s="597"/>
    </row>
    <row r="781" spans="1:26" ht="18.75" hidden="1">
      <c r="A781" s="592"/>
      <c r="B781" s="600"/>
      <c r="C781" s="750"/>
      <c r="D781" s="750"/>
      <c r="E781" s="750" t="s">
        <v>18</v>
      </c>
      <c r="F781" s="750"/>
      <c r="G781" s="596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7"/>
      <c r="R781" s="597"/>
      <c r="S781" s="597"/>
      <c r="T781" s="597"/>
      <c r="U781" s="597"/>
      <c r="V781" s="597"/>
      <c r="W781" s="597"/>
      <c r="X781" s="597"/>
      <c r="Y781" s="597"/>
      <c r="Z781" s="597"/>
    </row>
    <row r="782" spans="1:26" ht="18.75" hidden="1">
      <c r="A782" s="592"/>
      <c r="B782" s="600"/>
      <c r="C782" s="750"/>
      <c r="D782" s="750"/>
      <c r="E782" s="750" t="s">
        <v>19</v>
      </c>
      <c r="F782" s="750"/>
      <c r="G782" s="596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7"/>
      <c r="R782" s="597"/>
      <c r="S782" s="597"/>
      <c r="T782" s="597"/>
      <c r="U782" s="597"/>
      <c r="V782" s="597"/>
      <c r="W782" s="597"/>
      <c r="X782" s="597"/>
      <c r="Y782" s="597"/>
      <c r="Z782" s="597"/>
    </row>
    <row r="783" spans="1:26" ht="19.5" hidden="1">
      <c r="A783" s="607"/>
      <c r="B783" s="609"/>
      <c r="C783" s="750" t="s">
        <v>16</v>
      </c>
      <c r="D783" s="866" t="s">
        <v>38</v>
      </c>
      <c r="E783" s="644"/>
      <c r="F783" s="644"/>
      <c r="G783" s="645"/>
      <c r="H783" s="792"/>
      <c r="I783" s="166"/>
      <c r="J783" s="166"/>
      <c r="K783" s="167"/>
      <c r="L783" s="167"/>
      <c r="M783" s="167"/>
      <c r="N783" s="167"/>
      <c r="O783" s="167"/>
      <c r="P783" s="167"/>
      <c r="Q783" s="597"/>
      <c r="R783" s="597"/>
      <c r="S783" s="597"/>
      <c r="T783" s="597"/>
      <c r="U783" s="597"/>
      <c r="V783" s="597"/>
      <c r="W783" s="597"/>
      <c r="X783" s="597"/>
      <c r="Y783" s="597"/>
      <c r="Z783" s="597"/>
    </row>
    <row r="784" spans="1:26" ht="18.75" hidden="1">
      <c r="A784" s="642"/>
      <c r="B784" s="600"/>
      <c r="C784" s="750"/>
      <c r="D784" s="750"/>
      <c r="E784" s="750" t="s">
        <v>318</v>
      </c>
      <c r="F784" s="750"/>
      <c r="G784" s="596"/>
      <c r="H784" s="165" t="s">
        <v>46</v>
      </c>
      <c r="I784" s="610"/>
      <c r="J784" s="610"/>
      <c r="K784" s="93"/>
      <c r="L784" s="93"/>
      <c r="M784" s="93"/>
      <c r="N784" s="93"/>
      <c r="O784" s="93"/>
      <c r="P784" s="93"/>
      <c r="Q784" s="597"/>
      <c r="R784" s="597"/>
      <c r="S784" s="597"/>
      <c r="T784" s="597"/>
      <c r="U784" s="597"/>
      <c r="V784" s="597"/>
      <c r="W784" s="597"/>
      <c r="X784" s="597"/>
      <c r="Y784" s="597"/>
      <c r="Z784" s="597"/>
    </row>
    <row r="785" spans="1:26" ht="19.5" hidden="1">
      <c r="A785" s="793">
        <v>12</v>
      </c>
      <c r="B785" s="794" t="s">
        <v>319</v>
      </c>
      <c r="C785" s="795"/>
      <c r="D785" s="795"/>
      <c r="E785" s="795"/>
      <c r="F785" s="795"/>
      <c r="G785" s="796"/>
      <c r="H785" s="797" t="s">
        <v>46</v>
      </c>
      <c r="I785" s="867">
        <f t="shared" ref="I785:J785" ca="1" si="317">I800</f>
        <v>0</v>
      </c>
      <c r="J785" s="798">
        <f t="shared" ca="1" si="317"/>
        <v>0</v>
      </c>
      <c r="K785" s="799">
        <f ca="1">IF(I785&gt;0,J785*100/I785,0)</f>
        <v>0</v>
      </c>
      <c r="L785" s="800"/>
      <c r="M785" s="800"/>
      <c r="N785" s="800"/>
      <c r="O785" s="800"/>
      <c r="P785" s="800"/>
      <c r="Q785" s="571"/>
      <c r="R785" s="571"/>
      <c r="S785" s="571"/>
      <c r="T785" s="571"/>
      <c r="U785" s="571"/>
      <c r="V785" s="571"/>
      <c r="W785" s="571"/>
      <c r="X785" s="571"/>
      <c r="Y785" s="571"/>
      <c r="Z785" s="571"/>
    </row>
    <row r="786" spans="1:26" ht="19.5" hidden="1">
      <c r="A786" s="590"/>
      <c r="B786" s="568"/>
      <c r="C786" s="754" t="s">
        <v>16</v>
      </c>
      <c r="D786" s="838" t="s">
        <v>17</v>
      </c>
      <c r="E786" s="832"/>
      <c r="F786" s="832"/>
      <c r="G786" s="189"/>
      <c r="H786" s="591" t="s">
        <v>12</v>
      </c>
      <c r="I786" s="269"/>
      <c r="J786" s="269"/>
      <c r="K786" s="496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1"/>
      <c r="R786" s="571"/>
      <c r="S786" s="571"/>
      <c r="T786" s="571"/>
      <c r="U786" s="571"/>
      <c r="V786" s="571"/>
      <c r="W786" s="571"/>
      <c r="X786" s="571"/>
      <c r="Y786" s="571"/>
      <c r="Z786" s="571"/>
    </row>
    <row r="787" spans="1:26" ht="18.75" hidden="1">
      <c r="A787" s="592"/>
      <c r="B787" s="600"/>
      <c r="C787" s="750"/>
      <c r="D787" s="711"/>
      <c r="E787" s="750" t="s">
        <v>184</v>
      </c>
      <c r="F787" s="750"/>
      <c r="G787" s="596"/>
      <c r="H787" s="165" t="s">
        <v>12</v>
      </c>
      <c r="I787" s="610"/>
      <c r="J787" s="610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7"/>
      <c r="R787" s="597"/>
      <c r="S787" s="597"/>
      <c r="T787" s="597"/>
      <c r="U787" s="597"/>
      <c r="V787" s="597"/>
      <c r="W787" s="597"/>
      <c r="X787" s="597"/>
      <c r="Y787" s="597"/>
      <c r="Z787" s="597"/>
    </row>
    <row r="788" spans="1:26" ht="18.75" hidden="1">
      <c r="A788" s="592"/>
      <c r="B788" s="600"/>
      <c r="C788" s="600"/>
      <c r="D788" s="609"/>
      <c r="E788" s="750" t="s">
        <v>185</v>
      </c>
      <c r="F788" s="750"/>
      <c r="G788" s="596"/>
      <c r="H788" s="165" t="s">
        <v>12</v>
      </c>
      <c r="I788" s="610"/>
      <c r="J788" s="610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7"/>
      <c r="R788" s="597"/>
      <c r="S788" s="597"/>
      <c r="T788" s="597"/>
      <c r="U788" s="597"/>
      <c r="V788" s="597"/>
      <c r="W788" s="597"/>
      <c r="X788" s="597"/>
      <c r="Y788" s="597"/>
      <c r="Z788" s="597"/>
    </row>
    <row r="789" spans="1:26" ht="18.75" hidden="1">
      <c r="A789" s="590"/>
      <c r="B789" s="568"/>
      <c r="C789" s="568"/>
      <c r="D789" s="599" t="s">
        <v>20</v>
      </c>
      <c r="E789" s="754"/>
      <c r="F789" s="754"/>
      <c r="G789" s="189"/>
      <c r="H789" s="161" t="s">
        <v>12</v>
      </c>
      <c r="I789" s="184"/>
      <c r="J789" s="184"/>
      <c r="K789" s="163"/>
      <c r="L789" s="496">
        <f t="shared" ref="L789:N789" ca="1" si="322">L790+L791</f>
        <v>0</v>
      </c>
      <c r="M789" s="496">
        <f t="shared" si="322"/>
        <v>0</v>
      </c>
      <c r="N789" s="496">
        <f t="shared" si="322"/>
        <v>0</v>
      </c>
      <c r="O789" s="496">
        <f t="shared" ca="1" si="319"/>
        <v>0</v>
      </c>
      <c r="P789" s="496">
        <f t="shared" si="320"/>
        <v>0</v>
      </c>
      <c r="Q789" s="571"/>
      <c r="R789" s="571"/>
      <c r="S789" s="571"/>
      <c r="T789" s="571"/>
      <c r="U789" s="571"/>
      <c r="V789" s="571"/>
      <c r="W789" s="571"/>
      <c r="X789" s="571"/>
      <c r="Y789" s="571"/>
      <c r="Z789" s="571"/>
    </row>
    <row r="790" spans="1:26" ht="18.75" hidden="1">
      <c r="A790" s="592"/>
      <c r="B790" s="600"/>
      <c r="C790" s="600"/>
      <c r="D790" s="609"/>
      <c r="E790" s="750" t="s">
        <v>184</v>
      </c>
      <c r="F790" s="750"/>
      <c r="G790" s="596"/>
      <c r="H790" s="165" t="s">
        <v>12</v>
      </c>
      <c r="I790" s="610"/>
      <c r="J790" s="610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7"/>
      <c r="R790" s="597"/>
      <c r="S790" s="597"/>
      <c r="T790" s="597"/>
      <c r="U790" s="597"/>
      <c r="V790" s="597"/>
      <c r="W790" s="597"/>
      <c r="X790" s="597"/>
      <c r="Y790" s="597"/>
      <c r="Z790" s="597"/>
    </row>
    <row r="791" spans="1:26" ht="18.75" hidden="1">
      <c r="A791" s="592"/>
      <c r="B791" s="600"/>
      <c r="C791" s="600"/>
      <c r="D791" s="609"/>
      <c r="E791" s="750" t="s">
        <v>185</v>
      </c>
      <c r="F791" s="750"/>
      <c r="G791" s="596"/>
      <c r="H791" s="165" t="s">
        <v>12</v>
      </c>
      <c r="I791" s="610"/>
      <c r="J791" s="610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7"/>
      <c r="R791" s="597"/>
      <c r="S791" s="597"/>
      <c r="T791" s="597"/>
      <c r="U791" s="597"/>
      <c r="V791" s="597"/>
      <c r="W791" s="597"/>
      <c r="X791" s="597"/>
      <c r="Y791" s="597"/>
      <c r="Z791" s="597"/>
    </row>
    <row r="792" spans="1:26" ht="18.75" hidden="1">
      <c r="A792" s="567"/>
      <c r="B792" s="568"/>
      <c r="C792" s="754"/>
      <c r="D792" s="754"/>
      <c r="E792" s="754"/>
      <c r="F792" s="754" t="s">
        <v>186</v>
      </c>
      <c r="G792" s="189"/>
      <c r="H792" s="161" t="s">
        <v>12</v>
      </c>
      <c r="I792" s="269"/>
      <c r="J792" s="269"/>
      <c r="K792" s="496"/>
      <c r="L792" s="496"/>
      <c r="M792" s="496"/>
      <c r="N792" s="816">
        <v>0</v>
      </c>
      <c r="O792" s="496"/>
      <c r="P792" s="496"/>
      <c r="Q792" s="571"/>
      <c r="R792" s="571"/>
      <c r="S792" s="571"/>
      <c r="T792" s="571"/>
      <c r="U792" s="571"/>
      <c r="V792" s="571"/>
      <c r="W792" s="571"/>
      <c r="X792" s="571"/>
      <c r="Y792" s="571"/>
      <c r="Z792" s="571"/>
    </row>
    <row r="793" spans="1:26" ht="18.75" hidden="1">
      <c r="A793" s="567"/>
      <c r="B793" s="568"/>
      <c r="C793" s="754"/>
      <c r="D793" s="754"/>
      <c r="E793" s="754"/>
      <c r="F793" s="754" t="s">
        <v>187</v>
      </c>
      <c r="G793" s="189"/>
      <c r="H793" s="161" t="s">
        <v>12</v>
      </c>
      <c r="I793" s="269"/>
      <c r="J793" s="269"/>
      <c r="K793" s="496"/>
      <c r="L793" s="496"/>
      <c r="M793" s="496"/>
      <c r="N793" s="816">
        <v>0</v>
      </c>
      <c r="O793" s="496"/>
      <c r="P793" s="496"/>
      <c r="Q793" s="571"/>
      <c r="R793" s="571"/>
      <c r="S793" s="571"/>
      <c r="T793" s="571"/>
      <c r="U793" s="571"/>
      <c r="V793" s="571"/>
      <c r="W793" s="571"/>
      <c r="X793" s="571"/>
      <c r="Y793" s="571"/>
      <c r="Z793" s="571"/>
    </row>
    <row r="794" spans="1:26" ht="18.75" hidden="1">
      <c r="A794" s="567"/>
      <c r="B794" s="568"/>
      <c r="C794" s="754"/>
      <c r="D794" s="754"/>
      <c r="E794" s="754"/>
      <c r="F794" s="754" t="s">
        <v>188</v>
      </c>
      <c r="G794" s="189"/>
      <c r="H794" s="161" t="s">
        <v>12</v>
      </c>
      <c r="I794" s="269"/>
      <c r="J794" s="269"/>
      <c r="K794" s="496"/>
      <c r="L794" s="496"/>
      <c r="M794" s="496"/>
      <c r="N794" s="816">
        <v>0</v>
      </c>
      <c r="O794" s="496"/>
      <c r="P794" s="496"/>
      <c r="Q794" s="571"/>
      <c r="R794" s="571"/>
      <c r="S794" s="571"/>
      <c r="T794" s="571"/>
      <c r="U794" s="571"/>
      <c r="V794" s="571"/>
      <c r="W794" s="571"/>
      <c r="X794" s="571"/>
      <c r="Y794" s="571"/>
      <c r="Z794" s="571"/>
    </row>
    <row r="795" spans="1:26" ht="18.75" hidden="1">
      <c r="A795" s="567"/>
      <c r="B795" s="568"/>
      <c r="C795" s="754"/>
      <c r="D795" s="754"/>
      <c r="E795" s="754"/>
      <c r="F795" s="754" t="s">
        <v>189</v>
      </c>
      <c r="G795" s="189"/>
      <c r="H795" s="161" t="s">
        <v>12</v>
      </c>
      <c r="I795" s="269"/>
      <c r="J795" s="269"/>
      <c r="K795" s="496"/>
      <c r="L795" s="496"/>
      <c r="M795" s="496"/>
      <c r="N795" s="816">
        <v>0</v>
      </c>
      <c r="O795" s="496"/>
      <c r="P795" s="496"/>
      <c r="Q795" s="571"/>
      <c r="R795" s="571"/>
      <c r="S795" s="571"/>
      <c r="T795" s="571"/>
      <c r="U795" s="571"/>
      <c r="V795" s="571"/>
      <c r="W795" s="571"/>
      <c r="X795" s="571"/>
      <c r="Y795" s="571"/>
      <c r="Z795" s="571"/>
    </row>
    <row r="796" spans="1:26" ht="18.75" hidden="1">
      <c r="A796" s="590"/>
      <c r="B796" s="568"/>
      <c r="C796" s="754"/>
      <c r="D796" s="599" t="s">
        <v>21</v>
      </c>
      <c r="E796" s="754"/>
      <c r="F796" s="754"/>
      <c r="G796" s="189"/>
      <c r="H796" s="168" t="s">
        <v>12</v>
      </c>
      <c r="I796" s="184"/>
      <c r="J796" s="184"/>
      <c r="K796" s="163"/>
      <c r="L796" s="496">
        <f t="shared" ref="L796:N796" si="323">L797+L798</f>
        <v>0</v>
      </c>
      <c r="M796" s="496">
        <f t="shared" si="323"/>
        <v>0</v>
      </c>
      <c r="N796" s="496">
        <f t="shared" si="323"/>
        <v>0</v>
      </c>
      <c r="O796" s="496">
        <f t="shared" ref="O796:O798" si="324">IF(L796&gt;0,N796*100/L796,0)</f>
        <v>0</v>
      </c>
      <c r="P796" s="496">
        <f t="shared" ref="P796:P798" si="325">IF(M796&gt;0,N796*100/M796,0)</f>
        <v>0</v>
      </c>
      <c r="Q796" s="571"/>
      <c r="R796" s="571"/>
      <c r="S796" s="571"/>
      <c r="T796" s="571"/>
      <c r="U796" s="571"/>
      <c r="V796" s="571"/>
      <c r="W796" s="571"/>
      <c r="X796" s="571"/>
      <c r="Y796" s="571"/>
      <c r="Z796" s="571"/>
    </row>
    <row r="797" spans="1:26" ht="18.75" hidden="1">
      <c r="A797" s="592"/>
      <c r="B797" s="600"/>
      <c r="C797" s="750"/>
      <c r="D797" s="750"/>
      <c r="E797" s="750" t="s">
        <v>18</v>
      </c>
      <c r="F797" s="750"/>
      <c r="G797" s="596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7"/>
      <c r="R797" s="597"/>
      <c r="S797" s="597"/>
      <c r="T797" s="597"/>
      <c r="U797" s="597"/>
      <c r="V797" s="597"/>
      <c r="W797" s="597"/>
      <c r="X797" s="597"/>
      <c r="Y797" s="597"/>
      <c r="Z797" s="597"/>
    </row>
    <row r="798" spans="1:26" ht="18.75" hidden="1">
      <c r="A798" s="592"/>
      <c r="B798" s="600"/>
      <c r="C798" s="750"/>
      <c r="D798" s="750"/>
      <c r="E798" s="750" t="s">
        <v>19</v>
      </c>
      <c r="F798" s="750"/>
      <c r="G798" s="596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7"/>
      <c r="R798" s="597"/>
      <c r="S798" s="597"/>
      <c r="T798" s="597"/>
      <c r="U798" s="597"/>
      <c r="V798" s="597"/>
      <c r="W798" s="597"/>
      <c r="X798" s="597"/>
      <c r="Y798" s="597"/>
      <c r="Z798" s="597"/>
    </row>
    <row r="799" spans="1:26" ht="19.5" hidden="1">
      <c r="A799" s="601"/>
      <c r="B799" s="611"/>
      <c r="C799" s="754" t="s">
        <v>16</v>
      </c>
      <c r="D799" s="865" t="s">
        <v>38</v>
      </c>
      <c r="E799" s="752"/>
      <c r="F799" s="752"/>
      <c r="G799" s="606"/>
      <c r="H799" s="801"/>
      <c r="I799" s="184"/>
      <c r="J799" s="184"/>
      <c r="K799" s="163"/>
      <c r="L799" s="163"/>
      <c r="M799" s="163"/>
      <c r="N799" s="163"/>
      <c r="O799" s="163"/>
      <c r="P799" s="163"/>
      <c r="Q799" s="571"/>
      <c r="R799" s="571"/>
      <c r="S799" s="571"/>
      <c r="T799" s="571"/>
      <c r="U799" s="571"/>
      <c r="V799" s="571"/>
      <c r="W799" s="571"/>
      <c r="X799" s="571"/>
      <c r="Y799" s="571"/>
      <c r="Z799" s="571"/>
    </row>
    <row r="800" spans="1:26" ht="18.75" hidden="1">
      <c r="A800" s="601"/>
      <c r="B800" s="611"/>
      <c r="C800" s="611"/>
      <c r="D800" s="611"/>
      <c r="E800" s="619"/>
      <c r="F800" s="619" t="s">
        <v>320</v>
      </c>
      <c r="G800" s="753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6">
        <f ca="1">IF(I800&gt;0,J800*100/I800,0)</f>
        <v>0</v>
      </c>
      <c r="L800" s="496"/>
      <c r="M800" s="496"/>
      <c r="N800" s="496"/>
      <c r="O800" s="163"/>
      <c r="P800" s="163"/>
      <c r="Q800" s="571"/>
      <c r="R800" s="571"/>
      <c r="S800" s="571"/>
      <c r="T800" s="571"/>
      <c r="U800" s="571"/>
      <c r="V800" s="571"/>
      <c r="W800" s="571"/>
      <c r="X800" s="571"/>
      <c r="Y800" s="571"/>
      <c r="Z800" s="571"/>
    </row>
    <row r="801" spans="1:26" ht="18.75" hidden="1">
      <c r="A801" s="601"/>
      <c r="B801" s="611"/>
      <c r="C801" s="611"/>
      <c r="D801" s="611"/>
      <c r="E801" s="619"/>
      <c r="F801" s="619"/>
      <c r="G801" s="753"/>
      <c r="H801" s="161" t="s">
        <v>34</v>
      </c>
      <c r="I801" s="184"/>
      <c r="J801" s="269">
        <f ca="1">IFERROR(__xludf.DUMMYFUNCTION("IMPORTRANGE(""https://docs.google.com/spreadsheets/d/1MaWodYyGHDf7siQLGxnXhG4mBNTNIuy296niS2xXulU/edit?usp=sharing"",""RTK!I39"")"),0)</f>
        <v>0</v>
      </c>
      <c r="K801" s="496"/>
      <c r="L801" s="496"/>
      <c r="M801" s="496"/>
      <c r="N801" s="496"/>
      <c r="O801" s="163"/>
      <c r="P801" s="163"/>
      <c r="Q801" s="571"/>
      <c r="R801" s="571"/>
      <c r="S801" s="571"/>
      <c r="T801" s="571"/>
      <c r="U801" s="571"/>
      <c r="V801" s="571"/>
      <c r="W801" s="571"/>
      <c r="X801" s="571"/>
      <c r="Y801" s="571"/>
      <c r="Z801" s="571"/>
    </row>
    <row r="802" spans="1:26" ht="18.75" hidden="1">
      <c r="A802" s="607"/>
      <c r="B802" s="609"/>
      <c r="C802" s="609"/>
      <c r="D802" s="609"/>
      <c r="E802" s="711"/>
      <c r="F802" s="711" t="s">
        <v>321</v>
      </c>
      <c r="G802" s="365"/>
      <c r="H802" s="646" t="s">
        <v>46</v>
      </c>
      <c r="I802" s="166"/>
      <c r="J802" s="610"/>
      <c r="K802" s="167">
        <f>IF(I802&gt;0,J802*100/I802,0)</f>
        <v>0</v>
      </c>
      <c r="L802" s="167"/>
      <c r="M802" s="167"/>
      <c r="N802" s="167"/>
      <c r="O802" s="167"/>
      <c r="P802" s="167"/>
      <c r="Q802" s="597"/>
      <c r="R802" s="597"/>
      <c r="S802" s="597"/>
      <c r="T802" s="597"/>
      <c r="U802" s="597"/>
      <c r="V802" s="597"/>
      <c r="W802" s="597"/>
      <c r="X802" s="597"/>
      <c r="Y802" s="597"/>
      <c r="Z802" s="597"/>
    </row>
    <row r="803" spans="1:26" ht="18.75" hidden="1">
      <c r="A803" s="607"/>
      <c r="B803" s="609"/>
      <c r="C803" s="609"/>
      <c r="D803" s="609"/>
      <c r="E803" s="711"/>
      <c r="F803" s="711"/>
      <c r="G803" s="365"/>
      <c r="H803" s="646" t="s">
        <v>34</v>
      </c>
      <c r="I803" s="166"/>
      <c r="J803" s="610"/>
      <c r="K803" s="167"/>
      <c r="L803" s="167"/>
      <c r="M803" s="167"/>
      <c r="N803" s="167"/>
      <c r="O803" s="167"/>
      <c r="P803" s="167"/>
      <c r="Q803" s="597"/>
      <c r="R803" s="597"/>
      <c r="S803" s="597"/>
      <c r="T803" s="597"/>
      <c r="U803" s="597"/>
      <c r="V803" s="597"/>
      <c r="W803" s="597"/>
      <c r="X803" s="597"/>
      <c r="Y803" s="597"/>
      <c r="Z803" s="597"/>
    </row>
    <row r="804" spans="1:26" ht="19.5" hidden="1">
      <c r="A804" s="784">
        <v>13</v>
      </c>
      <c r="B804" s="785" t="s">
        <v>322</v>
      </c>
      <c r="C804" s="786"/>
      <c r="D804" s="802"/>
      <c r="E804" s="786"/>
      <c r="F804" s="786"/>
      <c r="G804" s="787"/>
      <c r="H804" s="788" t="s">
        <v>46</v>
      </c>
      <c r="I804" s="789"/>
      <c r="J804" s="789">
        <f>J819</f>
        <v>0</v>
      </c>
      <c r="K804" s="790">
        <f>IF(I804&gt;0,J804*100/I804,0)</f>
        <v>0</v>
      </c>
      <c r="L804" s="791"/>
      <c r="M804" s="791"/>
      <c r="N804" s="791"/>
      <c r="O804" s="791"/>
      <c r="P804" s="791"/>
      <c r="Q804" s="597"/>
      <c r="R804" s="597"/>
      <c r="S804" s="597"/>
      <c r="T804" s="597"/>
      <c r="U804" s="597"/>
      <c r="V804" s="597"/>
      <c r="W804" s="597"/>
      <c r="X804" s="597"/>
      <c r="Y804" s="597"/>
      <c r="Z804" s="597"/>
    </row>
    <row r="805" spans="1:26" ht="19.5" hidden="1">
      <c r="A805" s="592"/>
      <c r="B805" s="750"/>
      <c r="C805" s="750" t="s">
        <v>16</v>
      </c>
      <c r="D805" s="839" t="s">
        <v>17</v>
      </c>
      <c r="E805" s="832"/>
      <c r="F805" s="832"/>
      <c r="G805" s="596"/>
      <c r="H805" s="639" t="s">
        <v>12</v>
      </c>
      <c r="I805" s="610"/>
      <c r="J805" s="610"/>
      <c r="K805" s="93"/>
      <c r="L805" s="640">
        <f t="shared" ref="L805:N805" si="326">L806+L807</f>
        <v>0</v>
      </c>
      <c r="M805" s="640">
        <f t="shared" si="326"/>
        <v>0</v>
      </c>
      <c r="N805" s="640">
        <f t="shared" si="326"/>
        <v>0</v>
      </c>
      <c r="O805" s="640">
        <f t="shared" ref="O805:O810" si="327">IF(L805&gt;0,N805*100/L805,0)</f>
        <v>0</v>
      </c>
      <c r="P805" s="640">
        <f t="shared" ref="P805:P810" si="328">IF(M805&gt;0,N805*100/M805,0)</f>
        <v>0</v>
      </c>
      <c r="Q805" s="597"/>
      <c r="R805" s="597"/>
      <c r="S805" s="597"/>
      <c r="T805" s="597"/>
      <c r="U805" s="597"/>
      <c r="V805" s="597"/>
      <c r="W805" s="597"/>
      <c r="X805" s="597"/>
      <c r="Y805" s="597"/>
      <c r="Z805" s="597"/>
    </row>
    <row r="806" spans="1:26" ht="18.75" hidden="1">
      <c r="A806" s="592"/>
      <c r="B806" s="750"/>
      <c r="C806" s="750"/>
      <c r="D806" s="609"/>
      <c r="E806" s="750" t="s">
        <v>184</v>
      </c>
      <c r="F806" s="750"/>
      <c r="G806" s="596"/>
      <c r="H806" s="165" t="s">
        <v>12</v>
      </c>
      <c r="I806" s="610"/>
      <c r="J806" s="610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7"/>
      <c r="R806" s="597"/>
      <c r="S806" s="597"/>
      <c r="T806" s="597"/>
      <c r="U806" s="597"/>
      <c r="V806" s="597"/>
      <c r="W806" s="597"/>
      <c r="X806" s="597"/>
      <c r="Y806" s="597"/>
      <c r="Z806" s="597"/>
    </row>
    <row r="807" spans="1:26" ht="18.75" hidden="1">
      <c r="A807" s="592"/>
      <c r="B807" s="750"/>
      <c r="C807" s="750"/>
      <c r="D807" s="609"/>
      <c r="E807" s="750" t="s">
        <v>185</v>
      </c>
      <c r="F807" s="750"/>
      <c r="G807" s="596"/>
      <c r="H807" s="165" t="s">
        <v>12</v>
      </c>
      <c r="I807" s="610"/>
      <c r="J807" s="610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7"/>
      <c r="R807" s="597"/>
      <c r="S807" s="597"/>
      <c r="T807" s="597"/>
      <c r="U807" s="597"/>
      <c r="V807" s="597"/>
      <c r="W807" s="597"/>
      <c r="X807" s="597"/>
      <c r="Y807" s="597"/>
      <c r="Z807" s="597"/>
    </row>
    <row r="808" spans="1:26" ht="19.5" hidden="1">
      <c r="A808" s="592"/>
      <c r="B808" s="600"/>
      <c r="C808" s="750"/>
      <c r="D808" s="868" t="s">
        <v>20</v>
      </c>
      <c r="E808" s="832"/>
      <c r="F808" s="832"/>
      <c r="G808" s="596"/>
      <c r="H808" s="639" t="s">
        <v>12</v>
      </c>
      <c r="I808" s="166"/>
      <c r="J808" s="166"/>
      <c r="K808" s="167"/>
      <c r="L808" s="640">
        <f t="shared" ref="L808:N808" si="330">L809+L810</f>
        <v>0</v>
      </c>
      <c r="M808" s="640">
        <f t="shared" si="330"/>
        <v>0</v>
      </c>
      <c r="N808" s="640">
        <f t="shared" si="330"/>
        <v>0</v>
      </c>
      <c r="O808" s="640">
        <f t="shared" si="327"/>
        <v>0</v>
      </c>
      <c r="P808" s="640">
        <f t="shared" si="328"/>
        <v>0</v>
      </c>
      <c r="Q808" s="597"/>
      <c r="R808" s="597"/>
      <c r="S808" s="597"/>
      <c r="T808" s="597"/>
      <c r="U808" s="597"/>
      <c r="V808" s="597"/>
      <c r="W808" s="597"/>
      <c r="X808" s="597"/>
      <c r="Y808" s="597"/>
      <c r="Z808" s="597"/>
    </row>
    <row r="809" spans="1:26" ht="18.75" hidden="1">
      <c r="A809" s="592"/>
      <c r="B809" s="750"/>
      <c r="C809" s="750"/>
      <c r="D809" s="609"/>
      <c r="E809" s="750" t="s">
        <v>184</v>
      </c>
      <c r="F809" s="750"/>
      <c r="G809" s="596"/>
      <c r="H809" s="165" t="s">
        <v>12</v>
      </c>
      <c r="I809" s="610"/>
      <c r="J809" s="610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7"/>
      <c r="R809" s="597"/>
      <c r="S809" s="597"/>
      <c r="T809" s="597"/>
      <c r="U809" s="597"/>
      <c r="V809" s="597"/>
      <c r="W809" s="597"/>
      <c r="X809" s="597"/>
      <c r="Y809" s="597"/>
      <c r="Z809" s="597"/>
    </row>
    <row r="810" spans="1:26" ht="18.75" hidden="1">
      <c r="A810" s="592"/>
      <c r="B810" s="750"/>
      <c r="C810" s="750"/>
      <c r="D810" s="609"/>
      <c r="E810" s="750" t="s">
        <v>185</v>
      </c>
      <c r="F810" s="750"/>
      <c r="G810" s="596"/>
      <c r="H810" s="165" t="s">
        <v>12</v>
      </c>
      <c r="I810" s="610"/>
      <c r="J810" s="610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7"/>
      <c r="R810" s="597"/>
      <c r="S810" s="597"/>
      <c r="T810" s="597"/>
      <c r="U810" s="597"/>
      <c r="V810" s="597"/>
      <c r="W810" s="597"/>
      <c r="X810" s="597"/>
      <c r="Y810" s="597"/>
      <c r="Z810" s="597"/>
    </row>
    <row r="811" spans="1:26" ht="18.75" hidden="1">
      <c r="A811" s="642"/>
      <c r="B811" s="600"/>
      <c r="C811" s="750"/>
      <c r="D811" s="600"/>
      <c r="E811" s="750"/>
      <c r="F811" s="750" t="s">
        <v>186</v>
      </c>
      <c r="G811" s="596"/>
      <c r="H811" s="165" t="s">
        <v>12</v>
      </c>
      <c r="I811" s="610"/>
      <c r="J811" s="610"/>
      <c r="K811" s="93"/>
      <c r="L811" s="93"/>
      <c r="M811" s="93"/>
      <c r="N811" s="93"/>
      <c r="O811" s="93"/>
      <c r="P811" s="93"/>
      <c r="Q811" s="597"/>
      <c r="R811" s="597"/>
      <c r="S811" s="597"/>
      <c r="T811" s="597"/>
      <c r="U811" s="597"/>
      <c r="V811" s="597"/>
      <c r="W811" s="597"/>
      <c r="X811" s="597"/>
      <c r="Y811" s="597"/>
      <c r="Z811" s="597"/>
    </row>
    <row r="812" spans="1:26" ht="18.75" hidden="1">
      <c r="A812" s="642"/>
      <c r="B812" s="600"/>
      <c r="C812" s="750"/>
      <c r="D812" s="600"/>
      <c r="E812" s="750"/>
      <c r="F812" s="750" t="s">
        <v>187</v>
      </c>
      <c r="G812" s="596"/>
      <c r="H812" s="165" t="s">
        <v>12</v>
      </c>
      <c r="I812" s="610"/>
      <c r="J812" s="610"/>
      <c r="K812" s="93"/>
      <c r="L812" s="93"/>
      <c r="M812" s="93"/>
      <c r="N812" s="93"/>
      <c r="O812" s="93"/>
      <c r="P812" s="93"/>
      <c r="Q812" s="597"/>
      <c r="R812" s="597"/>
      <c r="S812" s="597"/>
      <c r="T812" s="597"/>
      <c r="U812" s="597"/>
      <c r="V812" s="597"/>
      <c r="W812" s="597"/>
      <c r="X812" s="597"/>
      <c r="Y812" s="597"/>
      <c r="Z812" s="597"/>
    </row>
    <row r="813" spans="1:26" ht="18.75" hidden="1">
      <c r="A813" s="642"/>
      <c r="B813" s="600"/>
      <c r="C813" s="750"/>
      <c r="D813" s="600"/>
      <c r="E813" s="750"/>
      <c r="F813" s="750" t="s">
        <v>188</v>
      </c>
      <c r="G813" s="596"/>
      <c r="H813" s="165" t="s">
        <v>12</v>
      </c>
      <c r="I813" s="610"/>
      <c r="J813" s="610"/>
      <c r="K813" s="93"/>
      <c r="L813" s="93"/>
      <c r="M813" s="93"/>
      <c r="N813" s="93"/>
      <c r="O813" s="93"/>
      <c r="P813" s="93"/>
      <c r="Q813" s="597"/>
      <c r="R813" s="597"/>
      <c r="S813" s="597"/>
      <c r="T813" s="597"/>
      <c r="U813" s="597"/>
      <c r="V813" s="597"/>
      <c r="W813" s="597"/>
      <c r="X813" s="597"/>
      <c r="Y813" s="597"/>
      <c r="Z813" s="597"/>
    </row>
    <row r="814" spans="1:26" ht="18.75" hidden="1">
      <c r="A814" s="642"/>
      <c r="B814" s="600"/>
      <c r="C814" s="750"/>
      <c r="D814" s="600"/>
      <c r="E814" s="750"/>
      <c r="F814" s="750" t="s">
        <v>189</v>
      </c>
      <c r="G814" s="596"/>
      <c r="H814" s="165" t="s">
        <v>12</v>
      </c>
      <c r="I814" s="610"/>
      <c r="J814" s="610"/>
      <c r="K814" s="93"/>
      <c r="L814" s="93"/>
      <c r="M814" s="93"/>
      <c r="N814" s="93"/>
      <c r="O814" s="93"/>
      <c r="P814" s="93"/>
      <c r="Q814" s="597"/>
      <c r="R814" s="597"/>
      <c r="S814" s="597"/>
      <c r="T814" s="597"/>
      <c r="U814" s="597"/>
      <c r="V814" s="597"/>
      <c r="W814" s="597"/>
      <c r="X814" s="597"/>
      <c r="Y814" s="597"/>
      <c r="Z814" s="597"/>
    </row>
    <row r="815" spans="1:26" ht="19.5" hidden="1">
      <c r="A815" s="592"/>
      <c r="B815" s="600"/>
      <c r="C815" s="750"/>
      <c r="D815" s="868" t="s">
        <v>21</v>
      </c>
      <c r="E815" s="832"/>
      <c r="F815" s="832"/>
      <c r="G815" s="596"/>
      <c r="H815" s="774" t="s">
        <v>12</v>
      </c>
      <c r="I815" s="166"/>
      <c r="J815" s="166"/>
      <c r="K815" s="167"/>
      <c r="L815" s="640">
        <f t="shared" ref="L815:N815" si="331">L816+L817</f>
        <v>0</v>
      </c>
      <c r="M815" s="640">
        <f t="shared" si="331"/>
        <v>0</v>
      </c>
      <c r="N815" s="640">
        <f t="shared" si="331"/>
        <v>0</v>
      </c>
      <c r="O815" s="640">
        <f t="shared" ref="O815:O817" si="332">IF(L815&gt;0,N815*100/L815,0)</f>
        <v>0</v>
      </c>
      <c r="P815" s="640">
        <f t="shared" ref="P815:P817" si="333">IF(M815&gt;0,N815*100/M815,0)</f>
        <v>0</v>
      </c>
      <c r="Q815" s="597"/>
      <c r="R815" s="597"/>
      <c r="S815" s="597"/>
      <c r="T815" s="597"/>
      <c r="U815" s="597"/>
      <c r="V815" s="597"/>
      <c r="W815" s="597"/>
      <c r="X815" s="597"/>
      <c r="Y815" s="597"/>
      <c r="Z815" s="597"/>
    </row>
    <row r="816" spans="1:26" ht="18.75" hidden="1">
      <c r="A816" s="592"/>
      <c r="B816" s="600"/>
      <c r="C816" s="750"/>
      <c r="D816" s="600"/>
      <c r="E816" s="750" t="s">
        <v>18</v>
      </c>
      <c r="F816" s="750"/>
      <c r="G816" s="596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7"/>
      <c r="R816" s="597"/>
      <c r="S816" s="597"/>
      <c r="T816" s="597"/>
      <c r="U816" s="597"/>
      <c r="V816" s="597"/>
      <c r="W816" s="597"/>
      <c r="X816" s="597"/>
      <c r="Y816" s="597"/>
      <c r="Z816" s="597"/>
    </row>
    <row r="817" spans="1:26" ht="18.75" hidden="1">
      <c r="A817" s="592"/>
      <c r="B817" s="600"/>
      <c r="C817" s="750"/>
      <c r="D817" s="600"/>
      <c r="E817" s="750" t="s">
        <v>19</v>
      </c>
      <c r="F817" s="750"/>
      <c r="G817" s="596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7"/>
      <c r="R817" s="597"/>
      <c r="S817" s="597"/>
      <c r="T817" s="597"/>
      <c r="U817" s="597"/>
      <c r="V817" s="597"/>
      <c r="W817" s="597"/>
      <c r="X817" s="597"/>
      <c r="Y817" s="597"/>
      <c r="Z817" s="597"/>
    </row>
    <row r="818" spans="1:26" ht="19.5" hidden="1">
      <c r="A818" s="607"/>
      <c r="B818" s="609"/>
      <c r="C818" s="750" t="s">
        <v>16</v>
      </c>
      <c r="D818" s="869" t="s">
        <v>38</v>
      </c>
      <c r="E818" s="644"/>
      <c r="F818" s="644"/>
      <c r="G818" s="645"/>
      <c r="H818" s="365"/>
      <c r="I818" s="166"/>
      <c r="J818" s="166"/>
      <c r="K818" s="167"/>
      <c r="L818" s="167"/>
      <c r="M818" s="167"/>
      <c r="N818" s="167"/>
      <c r="O818" s="167"/>
      <c r="P818" s="167"/>
      <c r="Q818" s="597"/>
      <c r="R818" s="597"/>
      <c r="S818" s="597"/>
      <c r="T818" s="597"/>
      <c r="U818" s="597"/>
      <c r="V818" s="597"/>
      <c r="W818" s="597"/>
      <c r="X818" s="597"/>
      <c r="Y818" s="597"/>
      <c r="Z818" s="597"/>
    </row>
    <row r="819" spans="1:26" ht="19.5" hidden="1" thickBot="1">
      <c r="A819" s="804"/>
      <c r="B819" s="805"/>
      <c r="C819" s="807"/>
      <c r="D819" s="805"/>
      <c r="E819" s="807" t="s">
        <v>323</v>
      </c>
      <c r="F819" s="807"/>
      <c r="G819" s="808"/>
      <c r="H819" s="809" t="s">
        <v>46</v>
      </c>
      <c r="I819" s="810"/>
      <c r="J819" s="810"/>
      <c r="K819" s="811"/>
      <c r="L819" s="811"/>
      <c r="M819" s="811"/>
      <c r="N819" s="811"/>
      <c r="O819" s="811"/>
      <c r="P819" s="811"/>
      <c r="Q819" s="597"/>
      <c r="R819" s="597"/>
      <c r="S819" s="597"/>
      <c r="T819" s="597"/>
      <c r="U819" s="597"/>
      <c r="V819" s="597"/>
      <c r="W819" s="597"/>
      <c r="X819" s="597"/>
      <c r="Y819" s="597"/>
      <c r="Z819" s="597"/>
    </row>
    <row r="820" spans="1:26" ht="19.5">
      <c r="A820" s="812" t="s">
        <v>336</v>
      </c>
      <c r="B820" s="813"/>
      <c r="C820" s="813"/>
      <c r="D820" s="814"/>
      <c r="E820" s="813"/>
      <c r="F820" s="813"/>
      <c r="G820" s="815"/>
      <c r="H820" s="815"/>
      <c r="I820" s="214"/>
      <c r="J820" s="214"/>
      <c r="K820" s="816"/>
      <c r="L820" s="816"/>
      <c r="M820" s="816"/>
      <c r="N820" s="816"/>
      <c r="O820" s="816"/>
      <c r="P820" s="816"/>
      <c r="Q820" s="571"/>
      <c r="R820" s="571"/>
      <c r="S820" s="571"/>
      <c r="T820" s="571"/>
      <c r="U820" s="571"/>
      <c r="V820" s="571"/>
      <c r="W820" s="571"/>
      <c r="X820" s="571"/>
      <c r="Y820" s="571"/>
      <c r="Z820" s="571"/>
    </row>
    <row r="821" spans="1:26" ht="18.75">
      <c r="A821" s="735"/>
      <c r="B821" s="754" t="s">
        <v>325</v>
      </c>
      <c r="C821" s="754"/>
      <c r="D821" s="568"/>
      <c r="E821" s="754"/>
      <c r="F821" s="754"/>
      <c r="G821" s="189"/>
      <c r="H821" s="616" t="s">
        <v>12</v>
      </c>
      <c r="I821" s="269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69">
        <f ca="1">IFERROR(__xludf.DUMMYFUNCTION("IMPORTRANGE(""https://docs.google.com/spreadsheets/d/19vJNZY_5yjcGF2XGBMNZRCAIB0Kwfpjp8YEOfu-bneM/edit?usp=sharing"",""งานกองทุน!F39"")"),148142.44)</f>
        <v>148142.44</v>
      </c>
      <c r="K821" s="496">
        <f t="shared" ref="K821:K828" ca="1" si="334">IF(I821&gt;0,J821*100/I821,0)</f>
        <v>0.98651933345868903</v>
      </c>
      <c r="L821" s="496"/>
      <c r="M821" s="496"/>
      <c r="N821" s="496"/>
      <c r="O821" s="496"/>
      <c r="P821" s="496"/>
      <c r="Q821" s="571"/>
      <c r="R821" s="571"/>
      <c r="S821" s="571"/>
      <c r="T821" s="571"/>
      <c r="U821" s="571"/>
      <c r="V821" s="571"/>
      <c r="W821" s="571"/>
      <c r="X821" s="571"/>
      <c r="Y821" s="571"/>
      <c r="Z821" s="571"/>
    </row>
    <row r="822" spans="1:26" ht="18.75">
      <c r="A822" s="735"/>
      <c r="B822" s="754"/>
      <c r="C822" s="754"/>
      <c r="D822" s="568"/>
      <c r="E822" s="754"/>
      <c r="F822" s="754"/>
      <c r="G822" s="189"/>
      <c r="H822" s="616" t="s">
        <v>35</v>
      </c>
      <c r="I822" s="269">
        <f ca="1">IFERROR(__xludf.DUMMYFUNCTION("IMPORTRANGE(""https://docs.google.com/spreadsheets/d/19vJNZY_5yjcGF2XGBMNZRCAIB0Kwfpjp8YEOfu-bneM/edit?usp=sharing"",""งานกองทุน!C39"")"),1508)</f>
        <v>1508</v>
      </c>
      <c r="J822" s="269">
        <f ca="1">IFERROR(__xludf.DUMMYFUNCTION("IMPORTRANGE(""https://docs.google.com/spreadsheets/d/19vJNZY_5yjcGF2XGBMNZRCAIB0Kwfpjp8YEOfu-bneM/edit?usp=sharing"",""งานกองทุน!E39"")"),9)</f>
        <v>9</v>
      </c>
      <c r="K822" s="496">
        <f t="shared" ca="1" si="334"/>
        <v>0.59681697612732099</v>
      </c>
      <c r="L822" s="496"/>
      <c r="M822" s="496"/>
      <c r="N822" s="496"/>
      <c r="O822" s="496"/>
      <c r="P822" s="496"/>
      <c r="Q822" s="571"/>
      <c r="R822" s="571"/>
      <c r="S822" s="571"/>
      <c r="T822" s="571"/>
      <c r="U822" s="571"/>
      <c r="V822" s="571"/>
      <c r="W822" s="571"/>
      <c r="X822" s="571"/>
      <c r="Y822" s="571"/>
      <c r="Z822" s="571"/>
    </row>
    <row r="823" spans="1:26" ht="18.75">
      <c r="A823" s="735"/>
      <c r="B823" s="754" t="s">
        <v>326</v>
      </c>
      <c r="C823" s="754"/>
      <c r="D823" s="568"/>
      <c r="E823" s="754"/>
      <c r="F823" s="754"/>
      <c r="G823" s="189"/>
      <c r="H823" s="616" t="s">
        <v>12</v>
      </c>
      <c r="I823" s="269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69">
        <f ca="1">IFERROR(__xludf.DUMMYFUNCTION("IMPORTRANGE(""https://docs.google.com/spreadsheets/d/19vJNZY_5yjcGF2XGBMNZRCAIB0Kwfpjp8YEOfu-bneM/edit?usp=sharing"",""งานกองทุน!K39"")"),128463.68)</f>
        <v>128463.67999999999</v>
      </c>
      <c r="K823" s="496">
        <f t="shared" ca="1" si="334"/>
        <v>1.6169642772664279</v>
      </c>
      <c r="L823" s="496"/>
      <c r="M823" s="496"/>
      <c r="N823" s="496"/>
      <c r="O823" s="496"/>
      <c r="P823" s="496"/>
      <c r="Q823" s="571"/>
      <c r="R823" s="571"/>
      <c r="S823" s="571"/>
      <c r="T823" s="571"/>
      <c r="U823" s="571"/>
      <c r="V823" s="571"/>
      <c r="W823" s="571"/>
      <c r="X823" s="571"/>
      <c r="Y823" s="571"/>
      <c r="Z823" s="571"/>
    </row>
    <row r="824" spans="1:26" ht="18.75">
      <c r="A824" s="735"/>
      <c r="B824" s="754"/>
      <c r="C824" s="754"/>
      <c r="D824" s="568"/>
      <c r="E824" s="754"/>
      <c r="F824" s="754"/>
      <c r="G824" s="189"/>
      <c r="H824" s="616" t="s">
        <v>35</v>
      </c>
      <c r="I824" s="269">
        <f ca="1">IFERROR(__xludf.DUMMYFUNCTION("IMPORTRANGE(""https://docs.google.com/spreadsheets/d/19vJNZY_5yjcGF2XGBMNZRCAIB0Kwfpjp8YEOfu-bneM/edit?usp=sharing"",""งานกองทุน!H39"")"),355)</f>
        <v>355</v>
      </c>
      <c r="J824" s="269">
        <f ca="1">IFERROR(__xludf.DUMMYFUNCTION("IMPORTRANGE(""https://docs.google.com/spreadsheets/d/19vJNZY_5yjcGF2XGBMNZRCAIB0Kwfpjp8YEOfu-bneM/edit?usp=sharing"",""งานกองทุน!J39"")"),18)</f>
        <v>18</v>
      </c>
      <c r="K824" s="496">
        <f t="shared" ca="1" si="334"/>
        <v>5.070422535211268</v>
      </c>
      <c r="L824" s="496"/>
      <c r="M824" s="496"/>
      <c r="N824" s="496"/>
      <c r="O824" s="496"/>
      <c r="P824" s="496"/>
      <c r="Q824" s="571"/>
      <c r="R824" s="571"/>
      <c r="S824" s="571"/>
      <c r="T824" s="571"/>
      <c r="U824" s="571"/>
      <c r="V824" s="571"/>
      <c r="W824" s="571"/>
      <c r="X824" s="571"/>
      <c r="Y824" s="571"/>
      <c r="Z824" s="571"/>
    </row>
    <row r="825" spans="1:26" ht="18.75">
      <c r="A825" s="735"/>
      <c r="B825" s="754" t="s">
        <v>327</v>
      </c>
      <c r="C825" s="754"/>
      <c r="D825" s="568"/>
      <c r="E825" s="754"/>
      <c r="F825" s="754"/>
      <c r="G825" s="189"/>
      <c r="H825" s="616" t="s">
        <v>12</v>
      </c>
      <c r="I825" s="269">
        <f ca="1">IFERROR(__xludf.DUMMYFUNCTION("IMPORTRANGE(""https://docs.google.com/spreadsheets/d/19vJNZY_5yjcGF2XGBMNZRCAIB0Kwfpjp8YEOfu-bneM/edit?usp=sharing"",""งานกองทุน!N39"")"),0)</f>
        <v>0</v>
      </c>
      <c r="J825" s="269">
        <f ca="1">IFERROR(__xludf.DUMMYFUNCTION("IMPORTRANGE(""https://docs.google.com/spreadsheets/d/19vJNZY_5yjcGF2XGBMNZRCAIB0Kwfpjp8YEOfu-bneM/edit?usp=sharing"",""งานกองทุน!P39"")"),0)</f>
        <v>0</v>
      </c>
      <c r="K825" s="496">
        <f t="shared" ca="1" si="334"/>
        <v>0</v>
      </c>
      <c r="L825" s="496"/>
      <c r="M825" s="496"/>
      <c r="N825" s="496"/>
      <c r="O825" s="496"/>
      <c r="P825" s="496"/>
      <c r="Q825" s="571"/>
      <c r="R825" s="571"/>
      <c r="S825" s="571"/>
      <c r="T825" s="571"/>
      <c r="U825" s="571"/>
      <c r="V825" s="571"/>
      <c r="W825" s="571"/>
      <c r="X825" s="571"/>
      <c r="Y825" s="571"/>
      <c r="Z825" s="571"/>
    </row>
    <row r="826" spans="1:26" ht="18.75">
      <c r="A826" s="735"/>
      <c r="B826" s="754"/>
      <c r="C826" s="754"/>
      <c r="D826" s="568"/>
      <c r="E826" s="754"/>
      <c r="F826" s="754"/>
      <c r="G826" s="189"/>
      <c r="H826" s="616" t="s">
        <v>35</v>
      </c>
      <c r="I826" s="269">
        <f ca="1">IFERROR(__xludf.DUMMYFUNCTION("IMPORTRANGE(""https://docs.google.com/spreadsheets/d/19vJNZY_5yjcGF2XGBMNZRCAIB0Kwfpjp8YEOfu-bneM/edit?usp=sharing"",""งานกองทุน!M39"")"),0)</f>
        <v>0</v>
      </c>
      <c r="J826" s="269">
        <f ca="1">IFERROR(__xludf.DUMMYFUNCTION("IMPORTRANGE(""https://docs.google.com/spreadsheets/d/19vJNZY_5yjcGF2XGBMNZRCAIB0Kwfpjp8YEOfu-bneM/edit?usp=sharing"",""งานกองทุน!O39"")"),0)</f>
        <v>0</v>
      </c>
      <c r="K826" s="496">
        <f t="shared" ca="1" si="334"/>
        <v>0</v>
      </c>
      <c r="L826" s="496"/>
      <c r="M826" s="496"/>
      <c r="N826" s="496"/>
      <c r="O826" s="496"/>
      <c r="P826" s="496"/>
      <c r="Q826" s="571"/>
      <c r="R826" s="571"/>
      <c r="S826" s="571"/>
      <c r="T826" s="571"/>
      <c r="U826" s="571"/>
      <c r="V826" s="571"/>
      <c r="W826" s="571"/>
      <c r="X826" s="571"/>
      <c r="Y826" s="571"/>
      <c r="Z826" s="571"/>
    </row>
    <row r="827" spans="1:26" ht="18.75">
      <c r="A827" s="735"/>
      <c r="B827" s="754" t="s">
        <v>328</v>
      </c>
      <c r="C827" s="754"/>
      <c r="D827" s="568"/>
      <c r="E827" s="754"/>
      <c r="F827" s="754"/>
      <c r="G827" s="189"/>
      <c r="H827" s="616" t="s">
        <v>12</v>
      </c>
      <c r="I827" s="269">
        <f ca="1">IFERROR(__xludf.DUMMYFUNCTION("IMPORTRANGE(""https://docs.google.com/spreadsheets/d/19vJNZY_5yjcGF2XGBMNZRCAIB0Kwfpjp8YEOfu-bneM/edit?usp=sharing"",""งานกองทุน!S39"")"),15000000)</f>
        <v>15000000</v>
      </c>
      <c r="J827" s="269">
        <f ca="1">IFERROR(__xludf.DUMMYFUNCTION("IMPORTRANGE(""https://docs.google.com/spreadsheets/d/19vJNZY_5yjcGF2XGBMNZRCAIB0Kwfpjp8YEOfu-bneM/edit?usp=sharing"",""งานกองทุน!U39"")"),0)</f>
        <v>0</v>
      </c>
      <c r="K827" s="496">
        <f t="shared" ca="1" si="334"/>
        <v>0</v>
      </c>
      <c r="L827" s="496"/>
      <c r="M827" s="496"/>
      <c r="N827" s="496"/>
      <c r="O827" s="496"/>
      <c r="P827" s="496"/>
      <c r="Q827" s="571"/>
      <c r="R827" s="571"/>
      <c r="S827" s="571"/>
      <c r="T827" s="571"/>
      <c r="U827" s="571"/>
      <c r="V827" s="571"/>
      <c r="W827" s="571"/>
      <c r="X827" s="571"/>
      <c r="Y827" s="571"/>
      <c r="Z827" s="571"/>
    </row>
    <row r="828" spans="1:26" ht="18.75">
      <c r="A828" s="738"/>
      <c r="B828" s="740"/>
      <c r="C828" s="740"/>
      <c r="D828" s="739"/>
      <c r="E828" s="740"/>
      <c r="F828" s="740"/>
      <c r="G828" s="817"/>
      <c r="H828" s="818" t="s">
        <v>35</v>
      </c>
      <c r="I828" s="499">
        <f ca="1">IFERROR(__xludf.DUMMYFUNCTION("IMPORTRANGE(""https://docs.google.com/spreadsheets/d/19vJNZY_5yjcGF2XGBMNZRCAIB0Kwfpjp8YEOfu-bneM/edit?usp=sharing"",""งานกองทุน!R39"")"),410)</f>
        <v>410</v>
      </c>
      <c r="J828" s="499">
        <f ca="1">IFERROR(__xludf.DUMMYFUNCTION("IMPORTRANGE(""https://docs.google.com/spreadsheets/d/19vJNZY_5yjcGF2XGBMNZRCAIB0Kwfpjp8YEOfu-bneM/edit?usp=sharing"",""งานกองทุน!T39"")"),25)</f>
        <v>25</v>
      </c>
      <c r="K828" s="500">
        <f t="shared" ca="1" si="334"/>
        <v>6.0975609756097562</v>
      </c>
      <c r="L828" s="500"/>
      <c r="M828" s="500"/>
      <c r="N828" s="500"/>
      <c r="O828" s="500"/>
      <c r="P828" s="500"/>
      <c r="Q828" s="571"/>
      <c r="R828" s="571"/>
      <c r="S828" s="571"/>
      <c r="T828" s="571"/>
      <c r="U828" s="571"/>
      <c r="V828" s="571"/>
      <c r="W828" s="571"/>
      <c r="X828" s="571"/>
      <c r="Y828" s="571"/>
      <c r="Z828" s="57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2022-12-22T03:26:50Z</cp:lastPrinted>
  <dcterms:modified xsi:type="dcterms:W3CDTF">2022-12-22T03:58:34Z</dcterms:modified>
</cp:coreProperties>
</file>